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11/relationships/webextensiontaskpanes" Target="xl/webextensions/taskpanes.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4" codeName="{00000000-0000-0000-0000-000000000000}"/>
  <workbookPr codeName="ThisWorkbook" defaultThemeVersion="166925"/>
  <mc:AlternateContent xmlns:mc="http://schemas.openxmlformats.org/markup-compatibility/2006">
    <mc:Choice Requires="x15">
      <x15ac:absPath xmlns:x15ac="http://schemas.microsoft.com/office/spreadsheetml/2010/11/ac" url="https://liveutk-my.sharepoint.com/personal/aroper2_utk_edu/Documents/Downloads/"/>
    </mc:Choice>
  </mc:AlternateContent>
  <xr:revisionPtr revIDLastSave="0" documentId="8_{1870B255-96C2-4030-B44E-47B5C975F709}" xr6:coauthVersionLast="47" xr6:coauthVersionMax="47" xr10:uidLastSave="{00000000-0000-0000-0000-000000000000}"/>
  <bookViews>
    <workbookView xWindow="52575" yWindow="-4650" windowWidth="23880" windowHeight="19890" firstSheet="1" activeTab="1" xr2:uid="{D5637D94-1550-411D-AA85-740A72E68002}"/>
  </bookViews>
  <sheets>
    <sheet name="Instructions" sheetId="2106" r:id="rId1"/>
    <sheet name="Inputs" sheetId="3" r:id="rId2"/>
    <sheet name="Print Inputs" sheetId="2115" state="hidden" r:id="rId3"/>
    <sheet name="CWT Costs" sheetId="2107" r:id="rId4"/>
    <sheet name="Outputs" sheetId="2114" r:id="rId5"/>
    <sheet name="Print Outputs A" sheetId="2120" state="hidden" r:id="rId6"/>
    <sheet name="Suggested Equipment" sheetId="19" r:id="rId7"/>
    <sheet name="Print Outputs B" sheetId="2117" state="hidden" r:id="rId8"/>
    <sheet name="Equipment List" sheetId="2113" r:id="rId9"/>
    <sheet name="Print Outputs C" sheetId="2118" state="hidden" r:id="rId10"/>
    <sheet name="Equipment" sheetId="1" state="hidden" r:id="rId11"/>
    <sheet name="NPV_New" sheetId="28" state="hidden" r:id="rId12"/>
    <sheet name="Cheese Prices" sheetId="2109" state="hidden" r:id="rId13"/>
  </sheets>
  <definedNames>
    <definedName name="_AtRisk_ReportsSetting_ReportGraphOptions" hidden="1">"REP:VER:8.8.1GRA:OUT:00INS:00SUM:T00DET:T00SCE:02SC1:33DAT:2|TRUE,.75,1|TRUE,0,.25|TRUE,.9,1SE1:38DAT:3,10,2,.95,5,16,FALSE,0,TRUE,TRUE,TRUESE2:38DAT:3,10,2,.95,5,16,FALSE,0,TRUE,TRUE,TRUETSI:002SDA:TT"</definedName>
    <definedName name="_AtRisk_ReportsSetting_ReportMulitSelections" hidden="1">"REP:VER:8.8.1MUL:OUT:T10INS:T11SUM:T10DET:T10SEN:T11SCE:T11TEM:FSDA:F12"</definedName>
    <definedName name="_AtRisk_ReportsSetting_ReportOptions" hidden="1">"REP:VER:8.8.1OPT:RAP:02RWE:02RLS:04ROT:00RST:00RRT:07AGR:FAFN:94DAT:C:\Users\czaring\OneDrive - University of Tennessee\Desktop\Report-CheeseDST_2.10.25_@risk.pdfOGR:T"</definedName>
    <definedName name="_AtRisk_ReportsSetting_ReportSelectedSimulationsDET" hidden="1">"AQA="</definedName>
    <definedName name="_AtRisk_ReportsSetting_ReportSelectedSimulationsINS" hidden="1">"AQA="</definedName>
    <definedName name="_AtRisk_ReportsSetting_ReportSelectedSimulationsOUT" hidden="1">"AQA="</definedName>
    <definedName name="_AtRisk_ReportsSetting_ReportSelectedSimulationsSCE" hidden="1">"AQA="</definedName>
    <definedName name="_AtRisk_ReportsSetting_ReportSelectedSimulationsSDA" hidden="1">"AQA="</definedName>
    <definedName name="_AtRisk_ReportsSetting_ReportSelectedSimulationsSEN" hidden="1">"AQA="</definedName>
    <definedName name="_AtRisk_ReportsSetting_ReportSelectedSimulationsSUM" hidden="1">"AQA="</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CorrelationEnabledState" hidden="1">1</definedName>
    <definedName name="_AtRisk_SimSetting_GoalSeekTargetValue" hidden="1">0</definedName>
    <definedName name="_AtRisk_SimSetting_LiveUpdate" hidden="1">TRUE</definedName>
    <definedName name="_AtRisk_SimSetting_MacroMode" hidden="1">0</definedName>
    <definedName name="_AtRisk_SimSetting_MacroRecalculationBehavior" hidden="1">0</definedName>
    <definedName name="_AtRisk_SimSetting_MaxAutoIterations" hidden="1">50000</definedName>
    <definedName name="_AtRisk_SimSetting_MultipleCPUCount" hidden="1">-1</definedName>
    <definedName name="_AtRisk_SimSetting_MultipleCPUManualCount" hidden="1">4</definedName>
    <definedName name="_AtRisk_SimSetting_MultipleCPUMode" hidden="1">2</definedName>
    <definedName name="_AtRisk_SimSetting_MultipleCPUModeV8" hidden="1">2</definedName>
    <definedName name="_AtRisk_SimSetting_RandomNumberGenerator" hidden="1">0</definedName>
    <definedName name="_AtRisk_SimSetting_ShowSimulationProgressWindow" hidden="1">TRUE</definedName>
    <definedName name="_AtRisk_SimSetting_SimName001" hidden="1">"Option 1"</definedName>
    <definedName name="_AtRisk_SimSetting_SimName002" hidden="1">"Option 2"</definedName>
    <definedName name="_AtRisk_SimSetting_SimName003" hidden="1">"Option 3"</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localSheetId="0" hidden="1">0</definedName>
    <definedName name="_AtRisk_SimSetting_StdRecalcBehavior" hidden="1">1</definedName>
    <definedName name="_AtRisk_SimSetting_StdRecalcWithoutRiskStatic" hidden="1">1</definedName>
    <definedName name="_AtRisk_SimSetting_StdRecalcWithoutRiskStaticPercentile" hidden="1">0.5</definedName>
    <definedName name="_xleta.AVERAGE" hidden="1">#NAME?</definedName>
    <definedName name="_xleta.DAY" hidden="1" xlm="1">#NAME?</definedName>
    <definedName name="_xleta.IFERROR" hidden="1" xlm="1">#NAME?</definedName>
    <definedName name="_xleta.INDEX" hidden="1" xlm="1">#NAME?</definedName>
    <definedName name="_xleta.ISNUMBER" hidden="1" xlm="1">#NAME?</definedName>
    <definedName name="_xleta.MATCH" hidden="1" xlm="1">#NAME?</definedName>
    <definedName name="_xleta.MIN" hidden="1" xlm="1">#NAME?</definedName>
    <definedName name="_xleta.NA" hidden="1" xlm="1">#NAME?</definedName>
    <definedName name="_xleta.STDEV.S" hidden="1">#NAME?</definedName>
    <definedName name="_xleta.TIME" hidden="1" xlm="1">#NAME?</definedName>
    <definedName name="_xleta.VLOOKUP" hidden="1">#NAME?</definedName>
    <definedName name="Bottle_Size">#REF!</definedName>
    <definedName name="Glass">#REF!</definedName>
    <definedName name="Herd">#REF!</definedName>
    <definedName name="homogenized">#REF!</definedName>
    <definedName name="Methods">#REF!</definedName>
    <definedName name="Pal_Workbook_GUID" hidden="1">"14T9JLEB8RHEPEI5PNIZWXMP"</definedName>
    <definedName name="_xlnm.Print_Area" localSheetId="2">'Print Inputs'!$A$1:$D$173</definedName>
    <definedName name="_xlnm.Print_Area" localSheetId="5">'Print Outputs A'!$A$1:$F$22</definedName>
    <definedName name="_xlnm.Print_Area" localSheetId="7">'Print Outputs B'!$A$1:$G$32</definedName>
    <definedName name="_xlnm.Print_Area" localSheetId="9">'Print Outputs C'!$A$1:$F$174</definedName>
    <definedName name="Processing_Percent">#REF!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localSheetId="0" hidden="1">1</definedName>
    <definedName name="RiskFixedSeed" hidden="1">9302023</definedName>
    <definedName name="RiskHasSettings" hidden="1">8</definedName>
    <definedName name="RiskMinimizeOnStart" hidden="1">FALSE</definedName>
    <definedName name="RiskMonitorConvergence" hidden="1">FALSE</definedName>
    <definedName name="RiskMultipleCPUSupportEnabled" hidden="1">FALSE</definedName>
    <definedName name="RiskNumIterations" localSheetId="0" hidden="1">5</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localSheetId="0" hidden="1">3</definedName>
    <definedName name="RiskSamplingType" hidden="1">2</definedName>
    <definedName name="RiskSimulationResultsStorageLocation" hidden="1">"1"</definedName>
    <definedName name="RiskStandardRecalc" localSheetId="0" hidden="1">0</definedName>
    <definedName name="RiskStandardRecalc" hidden="1">2</definedName>
    <definedName name="RiskUpdateDisplay" hidden="1">FALSE</definedName>
    <definedName name="RiskUseDifferentSeedForEachSim" hidden="1">FALSE</definedName>
    <definedName name="RiskUseFixedSeed" localSheetId="0" hidden="1">FALSE</definedName>
    <definedName name="RiskUseFixedSeed" hidden="1">TRUE</definedName>
    <definedName name="RiskUseMultipleCPUs" hidden="1">FALSE</definedName>
    <definedName name="standardized">#REF!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1" i="2118" l="1"/>
  <c r="A6" i="2118"/>
  <c r="A9" i="2118"/>
  <c r="A11" i="2118"/>
  <c r="A12" i="2118"/>
  <c r="A15" i="2118"/>
  <c r="A17" i="2118"/>
  <c r="A18" i="2118"/>
  <c r="A23" i="2118"/>
  <c r="A24" i="2118"/>
  <c r="A27" i="2118"/>
  <c r="A29" i="2118"/>
  <c r="A30" i="2118"/>
  <c r="A33" i="2118"/>
  <c r="A35" i="2118"/>
  <c r="A36" i="2118"/>
  <c r="A39" i="2118"/>
  <c r="A41" i="2118"/>
  <c r="A42" i="2118"/>
  <c r="A45" i="2118"/>
  <c r="A47" i="2118"/>
  <c r="A48" i="2118"/>
  <c r="A60" i="2118"/>
  <c r="A62" i="2118"/>
  <c r="A63" i="2118"/>
  <c r="A64" i="2118"/>
  <c r="A65" i="2118"/>
  <c r="A66" i="2118"/>
  <c r="A67" i="2118"/>
  <c r="A68" i="2118"/>
  <c r="A69" i="2118"/>
  <c r="A70" i="2118"/>
  <c r="A71" i="2118"/>
  <c r="A72" i="2118"/>
  <c r="A75" i="2118"/>
  <c r="A77" i="2118"/>
  <c r="A78" i="2118"/>
  <c r="A81" i="2118"/>
  <c r="A83" i="2118"/>
  <c r="A84" i="2118"/>
  <c r="A87" i="2118"/>
  <c r="A89" i="2118"/>
  <c r="A90" i="2118"/>
  <c r="A93" i="2118"/>
  <c r="A107" i="2118"/>
  <c r="A119" i="2118"/>
  <c r="A136" i="2118"/>
  <c r="A155" i="2118"/>
  <c r="A157" i="2118"/>
  <c r="A169" i="2118"/>
  <c r="A171" i="2118"/>
  <c r="A173" i="2118"/>
  <c r="A174" i="2118"/>
  <c r="A5" i="2118"/>
  <c r="C54" i="2115"/>
  <c r="B112" i="2115"/>
  <c r="B113" i="2115"/>
  <c r="B115" i="2115"/>
  <c r="B116" i="2115"/>
  <c r="B118" i="2115"/>
  <c r="B119" i="2115"/>
  <c r="B121" i="2115"/>
  <c r="B122" i="2115"/>
  <c r="B123" i="2115"/>
  <c r="B124" i="2115"/>
  <c r="B125" i="2115"/>
  <c r="B126" i="2115"/>
  <c r="B127" i="2115"/>
  <c r="B128" i="2115"/>
  <c r="B129" i="2115"/>
  <c r="B130" i="2115"/>
  <c r="B131" i="2115"/>
  <c r="B132" i="2115"/>
  <c r="B133" i="2115"/>
  <c r="B134" i="2115"/>
  <c r="B135" i="2115"/>
  <c r="B136" i="2115"/>
  <c r="B137" i="2115"/>
  <c r="B138" i="2115"/>
  <c r="B142" i="2115"/>
  <c r="B143" i="2115"/>
  <c r="B144" i="2115"/>
  <c r="B145" i="2115"/>
  <c r="B147" i="2115"/>
  <c r="B148" i="2115"/>
  <c r="B149" i="2115"/>
  <c r="B150" i="2115"/>
  <c r="B151" i="2115"/>
  <c r="B153" i="2115"/>
  <c r="B154" i="2115"/>
  <c r="B155" i="2115"/>
  <c r="B156" i="2115"/>
  <c r="B157" i="2115"/>
  <c r="B158" i="2115"/>
  <c r="B159" i="2115"/>
  <c r="B160" i="2115"/>
  <c r="B161" i="2115"/>
  <c r="B162" i="2115"/>
  <c r="B163" i="2115"/>
  <c r="B164" i="2115"/>
  <c r="B165" i="2115"/>
  <c r="B166" i="2115"/>
  <c r="B167" i="2115"/>
  <c r="B168" i="2115"/>
  <c r="B169" i="2115"/>
  <c r="B170" i="2115"/>
  <c r="B171" i="2115"/>
  <c r="B172" i="2115"/>
  <c r="B173" i="2115"/>
  <c r="B111" i="2115"/>
  <c r="B108" i="2115"/>
  <c r="C108" i="2115"/>
  <c r="B106" i="2115"/>
  <c r="C106" i="2115"/>
  <c r="B104" i="2115"/>
  <c r="C104" i="2115"/>
  <c r="B102" i="2115"/>
  <c r="C102" i="2115"/>
  <c r="B100" i="2115"/>
  <c r="C100" i="2115"/>
  <c r="B98" i="2115"/>
  <c r="C98" i="2115"/>
  <c r="B96" i="2115"/>
  <c r="C96" i="2115"/>
  <c r="B94" i="2115"/>
  <c r="C94" i="2115"/>
  <c r="B92" i="2115"/>
  <c r="C92" i="2115"/>
  <c r="B90" i="2115"/>
  <c r="C90" i="2115"/>
  <c r="B84" i="2115"/>
  <c r="C84" i="2115"/>
  <c r="B82" i="2115"/>
  <c r="C82" i="2115"/>
  <c r="B80" i="2115"/>
  <c r="C80" i="2115"/>
  <c r="B78" i="2115"/>
  <c r="C78" i="2115"/>
  <c r="C76" i="2115"/>
  <c r="B76" i="2115"/>
  <c r="B72" i="2115"/>
  <c r="C72" i="2115"/>
  <c r="B74" i="2115"/>
  <c r="C74" i="2115"/>
  <c r="A108" i="2115"/>
  <c r="A106" i="2115"/>
  <c r="A104" i="2115"/>
  <c r="A102" i="2115"/>
  <c r="A100" i="2115"/>
  <c r="A98" i="2115"/>
  <c r="A96" i="2115"/>
  <c r="A94" i="2115"/>
  <c r="A92" i="2115"/>
  <c r="A90" i="2115"/>
  <c r="A84" i="2115"/>
  <c r="A82" i="2115"/>
  <c r="A80" i="2115"/>
  <c r="A78" i="2115"/>
  <c r="A76" i="2115"/>
  <c r="A74" i="2115"/>
  <c r="A72" i="2115"/>
  <c r="B67" i="2115"/>
  <c r="B68" i="2115"/>
  <c r="B69" i="2115"/>
  <c r="B66" i="2115"/>
  <c r="D55" i="2115"/>
  <c r="D56" i="2115"/>
  <c r="D57" i="2115"/>
  <c r="D58" i="2115"/>
  <c r="D59" i="2115"/>
  <c r="D60" i="2115"/>
  <c r="D61" i="2115"/>
  <c r="D62" i="2115"/>
  <c r="D63" i="2115"/>
  <c r="D64" i="2115"/>
  <c r="D54" i="2115"/>
  <c r="C55" i="2115"/>
  <c r="C56" i="2115"/>
  <c r="C57" i="2115"/>
  <c r="C58" i="2115"/>
  <c r="C59" i="2115"/>
  <c r="C60" i="2115"/>
  <c r="C61" i="2115"/>
  <c r="C62" i="2115"/>
  <c r="C63" i="2115"/>
  <c r="C64" i="2115"/>
  <c r="B55" i="2115"/>
  <c r="B56" i="2115"/>
  <c r="B57" i="2115"/>
  <c r="B58" i="2115"/>
  <c r="B59" i="2115"/>
  <c r="B60" i="2115"/>
  <c r="B61" i="2115"/>
  <c r="B62" i="2115"/>
  <c r="B63" i="2115"/>
  <c r="B64" i="2115"/>
  <c r="B54" i="2115"/>
  <c r="B52" i="2115"/>
  <c r="B49" i="2115"/>
  <c r="B50" i="2115"/>
  <c r="B48" i="2115"/>
  <c r="B44" i="2115"/>
  <c r="B45" i="2115"/>
  <c r="B46" i="2115"/>
  <c r="B43" i="2115"/>
  <c r="B42" i="2115"/>
  <c r="B38" i="2115"/>
  <c r="B35" i="2115"/>
  <c r="B36" i="2115"/>
  <c r="B34" i="2115"/>
  <c r="A31" i="2115"/>
  <c r="B24" i="2115"/>
  <c r="C24" i="2115"/>
  <c r="D24" i="2115"/>
  <c r="B25" i="2115"/>
  <c r="C25" i="2115"/>
  <c r="D25" i="2115"/>
  <c r="B26" i="2115"/>
  <c r="C26" i="2115"/>
  <c r="D26" i="2115"/>
  <c r="B27" i="2115"/>
  <c r="C27" i="2115"/>
  <c r="D27" i="2115"/>
  <c r="B28" i="2115"/>
  <c r="C28" i="2115"/>
  <c r="D28" i="2115"/>
  <c r="B29" i="2115"/>
  <c r="C29" i="2115"/>
  <c r="D29" i="2115"/>
  <c r="B30" i="2115"/>
  <c r="C30" i="2115"/>
  <c r="D30" i="2115"/>
  <c r="D23" i="2115"/>
  <c r="C23" i="2115"/>
  <c r="B23" i="2115"/>
  <c r="C12" i="2115"/>
  <c r="C13" i="2115"/>
  <c r="C14" i="2115"/>
  <c r="C15" i="2115"/>
  <c r="C16" i="2115"/>
  <c r="C17" i="2115"/>
  <c r="C18" i="2115"/>
  <c r="C19" i="2115"/>
  <c r="C20" i="2115"/>
  <c r="C21" i="2115"/>
  <c r="C11" i="2115"/>
  <c r="B12" i="2115"/>
  <c r="B13" i="2115"/>
  <c r="B14" i="2115"/>
  <c r="B15" i="2115"/>
  <c r="B16" i="2115"/>
  <c r="B17" i="2115"/>
  <c r="B18" i="2115"/>
  <c r="B19" i="2115"/>
  <c r="B20" i="2115"/>
  <c r="B21" i="2115"/>
  <c r="B11" i="2115"/>
  <c r="B9" i="2115"/>
  <c r="B8" i="2115"/>
  <c r="B7" i="2115"/>
  <c r="B6" i="2115"/>
  <c r="B5" i="2115"/>
  <c r="B4" i="2115"/>
  <c r="B3" i="2115"/>
  <c r="A1" i="2115"/>
  <c r="L90" i="1"/>
  <c r="L91" i="1"/>
  <c r="L92" i="1"/>
  <c r="L93" i="1"/>
  <c r="L94" i="1"/>
  <c r="L95" i="1"/>
  <c r="E21" i="2113"/>
  <c r="E18" i="2118" s="1"/>
  <c r="E27" i="2113"/>
  <c r="E24" i="2118" s="1"/>
  <c r="E33" i="2113"/>
  <c r="E30" i="2118" s="1"/>
  <c r="E39" i="2113"/>
  <c r="E36" i="2118" s="1"/>
  <c r="E45" i="2113"/>
  <c r="E42" i="2118" s="1"/>
  <c r="E66" i="2113"/>
  <c r="E72" i="2118" s="1"/>
  <c r="E72" i="2113"/>
  <c r="E78" i="2118" s="1"/>
  <c r="E78" i="2113"/>
  <c r="E84" i="2118" s="1"/>
  <c r="E84" i="2113"/>
  <c r="E90" i="2118" s="1"/>
  <c r="D66" i="2113"/>
  <c r="D72" i="2118" s="1"/>
  <c r="F45" i="2113"/>
  <c r="F42" i="2118" s="1"/>
  <c r="D45" i="2113"/>
  <c r="D42" i="2118" s="1"/>
  <c r="F39" i="2113"/>
  <c r="F36" i="2118" s="1"/>
  <c r="D39" i="2113"/>
  <c r="D36" i="2118" s="1"/>
  <c r="D33" i="2113"/>
  <c r="D30" i="2118" s="1"/>
  <c r="F27" i="2113"/>
  <c r="F24" i="2118" s="1"/>
  <c r="D27" i="2113"/>
  <c r="D24" i="2118" s="1"/>
  <c r="F15" i="2113"/>
  <c r="F12" i="2118" s="1"/>
  <c r="D15" i="2113"/>
  <c r="D12" i="2118" s="1"/>
  <c r="F84" i="2113"/>
  <c r="F90" i="2118" s="1"/>
  <c r="D84" i="2113"/>
  <c r="D90" i="2118" s="1"/>
  <c r="C84" i="2113"/>
  <c r="C90" i="2118" s="1"/>
  <c r="C66" i="2113"/>
  <c r="C72" i="2118" s="1"/>
  <c r="C39" i="2113"/>
  <c r="C36" i="2118" s="1"/>
  <c r="C27" i="2113"/>
  <c r="C24" i="2118" s="1"/>
  <c r="C21" i="2113"/>
  <c r="C18" i="2118" s="1"/>
  <c r="C15" i="2113"/>
  <c r="C12" i="2118" s="1"/>
  <c r="B161" i="2113"/>
  <c r="B173" i="2118" s="1"/>
  <c r="B84" i="2113"/>
  <c r="B90" i="2118" s="1"/>
  <c r="B83" i="2113"/>
  <c r="B89" i="2118" s="1"/>
  <c r="B78" i="2113"/>
  <c r="B84" i="2118" s="1"/>
  <c r="B77" i="2113"/>
  <c r="B83" i="2118" s="1"/>
  <c r="B72" i="2113"/>
  <c r="B78" i="2118" s="1"/>
  <c r="B71" i="2113"/>
  <c r="B77" i="2118" s="1"/>
  <c r="B65" i="2113"/>
  <c r="B71" i="2118" s="1"/>
  <c r="B64" i="2113"/>
  <c r="B70" i="2118" s="1"/>
  <c r="B63" i="2113"/>
  <c r="B69" i="2118" s="1"/>
  <c r="B62" i="2113"/>
  <c r="B68" i="2118" s="1"/>
  <c r="B61" i="2113"/>
  <c r="B67" i="2118" s="1"/>
  <c r="B60" i="2113"/>
  <c r="B66" i="2118" s="1"/>
  <c r="B59" i="2113"/>
  <c r="B65" i="2118" s="1"/>
  <c r="B58" i="2113"/>
  <c r="B64" i="2118" s="1"/>
  <c r="B57" i="2113"/>
  <c r="B63" i="2118" s="1"/>
  <c r="B56" i="2113"/>
  <c r="B62" i="2118" s="1"/>
  <c r="B50" i="2113"/>
  <c r="B47" i="2118" s="1"/>
  <c r="B45" i="2113"/>
  <c r="B42" i="2118" s="1"/>
  <c r="B44" i="2113"/>
  <c r="B41" i="2118" s="1"/>
  <c r="B39" i="2113"/>
  <c r="B36" i="2118" s="1"/>
  <c r="B38" i="2113"/>
  <c r="B35" i="2118" s="1"/>
  <c r="B32" i="2113"/>
  <c r="B29" i="2118" s="1"/>
  <c r="B27" i="2113"/>
  <c r="B24" i="2118" s="1"/>
  <c r="B26" i="2113"/>
  <c r="B23" i="2118" s="1"/>
  <c r="B20" i="2113"/>
  <c r="B17" i="2118" s="1"/>
  <c r="B14" i="2113"/>
  <c r="B11" i="2118" s="1"/>
  <c r="B8" i="2113"/>
  <c r="B5" i="2118" s="1"/>
  <c r="A162" i="2113"/>
  <c r="E162" i="2113" s="1"/>
  <c r="E174" i="2118" s="1"/>
  <c r="A161" i="2113"/>
  <c r="A84" i="2113"/>
  <c r="A83" i="2113"/>
  <c r="A78" i="2113"/>
  <c r="F78" i="2113" s="1"/>
  <c r="F84" i="2118" s="1"/>
  <c r="A77" i="2113"/>
  <c r="A72" i="2113"/>
  <c r="F72" i="2113" s="1"/>
  <c r="F78" i="2118" s="1"/>
  <c r="A71" i="2113"/>
  <c r="A66" i="2113"/>
  <c r="F66" i="2113" s="1"/>
  <c r="F72" i="2118" s="1"/>
  <c r="A65" i="2113"/>
  <c r="A51" i="2113"/>
  <c r="E51" i="2113" s="1"/>
  <c r="E48" i="2118" s="1"/>
  <c r="A50" i="2113"/>
  <c r="A45" i="2113"/>
  <c r="C45" i="2113" s="1"/>
  <c r="C42" i="2118" s="1"/>
  <c r="A44" i="2113"/>
  <c r="A39" i="2113"/>
  <c r="A38" i="2113"/>
  <c r="A33" i="2113"/>
  <c r="C33" i="2113" s="1"/>
  <c r="C30" i="2118" s="1"/>
  <c r="A32" i="2113"/>
  <c r="A27" i="2113"/>
  <c r="A26" i="2113"/>
  <c r="A21" i="2113"/>
  <c r="B21" i="2113" s="1"/>
  <c r="B18" i="2118" s="1"/>
  <c r="A20" i="2113"/>
  <c r="A15" i="2113"/>
  <c r="B15" i="2113" s="1"/>
  <c r="B12" i="2118" s="1"/>
  <c r="A14" i="2113"/>
  <c r="A9" i="2113"/>
  <c r="F9" i="2113" s="1"/>
  <c r="F6" i="2118" s="1"/>
  <c r="A8" i="2113"/>
  <c r="B31" i="19"/>
  <c r="B27" i="2117" s="1"/>
  <c r="E159" i="1"/>
  <c r="C14" i="2113" s="1"/>
  <c r="C11" i="2118" s="1"/>
  <c r="E154" i="1"/>
  <c r="C8" i="2113" s="1"/>
  <c r="C5" i="2118" s="1"/>
  <c r="E149" i="1"/>
  <c r="C83" i="2113" s="1"/>
  <c r="C89" i="2118" s="1"/>
  <c r="B159" i="1"/>
  <c r="F159" i="1" s="1"/>
  <c r="B154" i="1"/>
  <c r="F154" i="1" s="1"/>
  <c r="B149" i="1"/>
  <c r="F149" i="1" s="1"/>
  <c r="E144" i="1"/>
  <c r="C77" i="2113" s="1"/>
  <c r="C83" i="2118" s="1"/>
  <c r="E139" i="1"/>
  <c r="C71" i="2113" s="1"/>
  <c r="C77" i="2118" s="1"/>
  <c r="E134" i="1"/>
  <c r="C50" i="2113" s="1"/>
  <c r="C47" i="2118" s="1"/>
  <c r="E129" i="1"/>
  <c r="C44" i="2113" s="1"/>
  <c r="C41" i="2118" s="1"/>
  <c r="E124" i="1"/>
  <c r="C38" i="2113" s="1"/>
  <c r="C35" i="2118" s="1"/>
  <c r="E119" i="1"/>
  <c r="C32" i="2113" s="1"/>
  <c r="C29" i="2118" s="1"/>
  <c r="E114" i="1"/>
  <c r="C26" i="2113" s="1"/>
  <c r="C23" i="2118" s="1"/>
  <c r="E109" i="1"/>
  <c r="C20" i="2113" s="1"/>
  <c r="C17" i="2118" s="1"/>
  <c r="B144" i="1"/>
  <c r="F144" i="1" s="1"/>
  <c r="B139" i="1"/>
  <c r="F139" i="1" s="1"/>
  <c r="B134" i="1"/>
  <c r="F134" i="1" s="1"/>
  <c r="B129" i="1"/>
  <c r="F129" i="1" s="1"/>
  <c r="D44" i="2113" s="1"/>
  <c r="D41" i="2118" s="1"/>
  <c r="B124" i="1"/>
  <c r="F124" i="1" s="1"/>
  <c r="D38" i="2113" s="1"/>
  <c r="D35" i="2118" s="1"/>
  <c r="B119" i="1"/>
  <c r="F119" i="1" s="1"/>
  <c r="B114" i="1"/>
  <c r="F114" i="1" s="1"/>
  <c r="G114" i="1" s="1"/>
  <c r="B109" i="1"/>
  <c r="F109" i="1" s="1"/>
  <c r="G109" i="1" s="1"/>
  <c r="B104" i="1"/>
  <c r="F104" i="1" s="1"/>
  <c r="E104" i="1"/>
  <c r="C161" i="2113" s="1"/>
  <c r="C173" i="2118" s="1"/>
  <c r="F91" i="1"/>
  <c r="D57" i="2113" s="1"/>
  <c r="D63" i="2118" s="1"/>
  <c r="K91" i="1"/>
  <c r="F92" i="1"/>
  <c r="D58" i="2113" s="1"/>
  <c r="D64" i="2118" s="1"/>
  <c r="K92" i="1"/>
  <c r="F93" i="1"/>
  <c r="D59" i="2113" s="1"/>
  <c r="D65" i="2118" s="1"/>
  <c r="K93" i="1"/>
  <c r="F94" i="1"/>
  <c r="G94" i="1" s="1"/>
  <c r="H94" i="1" s="1"/>
  <c r="K94" i="1"/>
  <c r="F95" i="1"/>
  <c r="D61" i="2113" s="1"/>
  <c r="D67" i="2118" s="1"/>
  <c r="K95" i="1"/>
  <c r="F96" i="1"/>
  <c r="D62" i="2113" s="1"/>
  <c r="D68" i="2118" s="1"/>
  <c r="K96" i="1"/>
  <c r="F97" i="1"/>
  <c r="D63" i="2113" s="1"/>
  <c r="D69" i="2118" s="1"/>
  <c r="K97" i="1"/>
  <c r="F98" i="1"/>
  <c r="G98" i="1" s="1"/>
  <c r="H98" i="1" s="1"/>
  <c r="K98" i="1"/>
  <c r="K99" i="1"/>
  <c r="F90" i="1"/>
  <c r="D56" i="2113" s="1"/>
  <c r="D62" i="2118" s="1"/>
  <c r="K90" i="1"/>
  <c r="B99" i="1"/>
  <c r="F99" i="1" s="1"/>
  <c r="E99" i="1"/>
  <c r="C65" i="2113" s="1"/>
  <c r="C71" i="2118" s="1"/>
  <c r="B85" i="1"/>
  <c r="F85" i="1" s="1"/>
  <c r="G85" i="1" s="1"/>
  <c r="E85" i="1"/>
  <c r="E84" i="1"/>
  <c r="E83" i="1"/>
  <c r="E82" i="1"/>
  <c r="E81" i="1"/>
  <c r="E80" i="1"/>
  <c r="E79" i="1"/>
  <c r="E78" i="1"/>
  <c r="E77" i="1"/>
  <c r="E76" i="1"/>
  <c r="E75" i="1"/>
  <c r="E74" i="1"/>
  <c r="E73" i="1"/>
  <c r="B68" i="1"/>
  <c r="F68" i="1" s="1"/>
  <c r="G68" i="1" s="1"/>
  <c r="E68" i="1"/>
  <c r="E67" i="1"/>
  <c r="E66" i="1"/>
  <c r="E65" i="1"/>
  <c r="E64" i="1"/>
  <c r="E63" i="1"/>
  <c r="E62" i="1"/>
  <c r="E61" i="1"/>
  <c r="E60" i="1"/>
  <c r="E59" i="1"/>
  <c r="E58" i="1"/>
  <c r="E57" i="1"/>
  <c r="E52" i="1"/>
  <c r="B52" i="1"/>
  <c r="G97" i="1" l="1"/>
  <c r="H97" i="1" s="1"/>
  <c r="G90" i="1"/>
  <c r="H90" i="1" s="1"/>
  <c r="G93" i="1"/>
  <c r="H93" i="1" s="1"/>
  <c r="G95" i="1"/>
  <c r="H95" i="1" s="1"/>
  <c r="G92" i="1"/>
  <c r="H92" i="1" s="1"/>
  <c r="G96" i="1"/>
  <c r="H96" i="1" s="1"/>
  <c r="D60" i="2113"/>
  <c r="D66" i="2118" s="1"/>
  <c r="G91" i="1"/>
  <c r="H91" i="1" s="1"/>
  <c r="D20" i="2113"/>
  <c r="D17" i="2118" s="1"/>
  <c r="D64" i="2113"/>
  <c r="D70" i="2118" s="1"/>
  <c r="D26" i="2113"/>
  <c r="D23" i="2118" s="1"/>
  <c r="G144" i="1"/>
  <c r="D77" i="2113"/>
  <c r="D83" i="2118" s="1"/>
  <c r="G119" i="1"/>
  <c r="D32" i="2113"/>
  <c r="D29" i="2118" s="1"/>
  <c r="G99" i="1"/>
  <c r="H99" i="1" s="1"/>
  <c r="D65" i="2113"/>
  <c r="D71" i="2118" s="1"/>
  <c r="D83" i="2113"/>
  <c r="D89" i="2118" s="1"/>
  <c r="G149" i="1"/>
  <c r="G104" i="1"/>
  <c r="D161" i="2113"/>
  <c r="D173" i="2118" s="1"/>
  <c r="G139" i="1"/>
  <c r="D71" i="2113"/>
  <c r="D77" i="2118" s="1"/>
  <c r="G134" i="1"/>
  <c r="D50" i="2113"/>
  <c r="D47" i="2118" s="1"/>
  <c r="G129" i="1"/>
  <c r="G124" i="1"/>
  <c r="G154" i="1"/>
  <c r="D8" i="2113"/>
  <c r="D5" i="2118" s="1"/>
  <c r="G159" i="1"/>
  <c r="D14" i="2113"/>
  <c r="D11" i="2118" s="1"/>
  <c r="E15" i="2113"/>
  <c r="E12" i="2118" s="1"/>
  <c r="E9" i="2113"/>
  <c r="E6" i="2118" s="1"/>
  <c r="B9" i="2113"/>
  <c r="B6" i="2118" s="1"/>
  <c r="C9" i="2113"/>
  <c r="C6" i="2118" s="1"/>
  <c r="D9" i="2113"/>
  <c r="D6" i="2118" s="1"/>
  <c r="C78" i="2113"/>
  <c r="C84" i="2118" s="1"/>
  <c r="D78" i="2113"/>
  <c r="D84" i="2118" s="1"/>
  <c r="C72" i="2113"/>
  <c r="C78" i="2118" s="1"/>
  <c r="D72" i="2113"/>
  <c r="D78" i="2118" s="1"/>
  <c r="B51" i="2113"/>
  <c r="B48" i="2118" s="1"/>
  <c r="D51" i="2113"/>
  <c r="D48" i="2118" s="1"/>
  <c r="F51" i="2113"/>
  <c r="F48" i="2118" s="1"/>
  <c r="C51" i="2113"/>
  <c r="C48" i="2118" s="1"/>
  <c r="B33" i="2113"/>
  <c r="B30" i="2118" s="1"/>
  <c r="F33" i="2113"/>
  <c r="F30" i="2118" s="1"/>
  <c r="D21" i="2113"/>
  <c r="D18" i="2118" s="1"/>
  <c r="F21" i="2113"/>
  <c r="F18" i="2118" s="1"/>
  <c r="D162" i="2113"/>
  <c r="D174" i="2118" s="1"/>
  <c r="F162" i="2113"/>
  <c r="F174" i="2118" s="1"/>
  <c r="C162" i="2113"/>
  <c r="C174" i="2118" s="1"/>
  <c r="B162" i="2113"/>
  <c r="B174" i="2118" s="1"/>
  <c r="B66" i="2113"/>
  <c r="B72" i="2118" s="1"/>
  <c r="A156" i="2113"/>
  <c r="A141" i="2113"/>
  <c r="A119" i="2113"/>
  <c r="A134" i="2118" s="1"/>
  <c r="A101" i="2113"/>
  <c r="E38" i="1"/>
  <c r="B38" i="1"/>
  <c r="B119" i="2113" l="1"/>
  <c r="B134" i="2118" s="1"/>
  <c r="F119" i="2113"/>
  <c r="F134" i="2118" s="1"/>
  <c r="D119" i="2113"/>
  <c r="D134" i="2118" s="1"/>
  <c r="C119" i="2113"/>
  <c r="C134" i="2118" s="1"/>
  <c r="E119" i="2113"/>
  <c r="E134" i="2118" s="1"/>
  <c r="B141" i="2113"/>
  <c r="B155" i="2118" s="1"/>
  <c r="B156" i="2113"/>
  <c r="B169" i="2118" s="1"/>
  <c r="E101" i="2113"/>
  <c r="E107" i="2118" s="1"/>
  <c r="D101" i="2113"/>
  <c r="D107" i="2118" s="1"/>
  <c r="C101" i="2113"/>
  <c r="C107" i="2118" s="1"/>
  <c r="B101" i="2113"/>
  <c r="B107" i="2118" s="1"/>
  <c r="F101" i="2113"/>
  <c r="F107" i="2118" s="1"/>
  <c r="E156" i="2113"/>
  <c r="E169" i="2118" s="1"/>
  <c r="F156" i="2113"/>
  <c r="F169" i="2118" s="1"/>
  <c r="D156" i="2113"/>
  <c r="D169" i="2118" s="1"/>
  <c r="C156" i="2113"/>
  <c r="C169" i="2118" s="1"/>
  <c r="C141" i="2113"/>
  <c r="C155" i="2118" s="1"/>
  <c r="F141" i="2113"/>
  <c r="F155" i="2118" s="1"/>
  <c r="D141" i="2113"/>
  <c r="D155" i="2118" s="1"/>
  <c r="E141" i="2113"/>
  <c r="E155" i="2118" s="1"/>
  <c r="C38" i="1"/>
  <c r="F38" i="1"/>
  <c r="G38" i="1" s="1"/>
  <c r="A64" i="2113" l="1"/>
  <c r="A63" i="2113"/>
  <c r="A62" i="2113"/>
  <c r="A61" i="2113"/>
  <c r="A60" i="2113"/>
  <c r="A59" i="2113"/>
  <c r="A58" i="2113"/>
  <c r="A57" i="2113"/>
  <c r="A56" i="2113"/>
  <c r="G17" i="2107"/>
  <c r="G47" i="3" s="1"/>
  <c r="G4" i="2107"/>
  <c r="G46" i="3" s="1"/>
  <c r="C28" i="3" l="1"/>
  <c r="C27" i="3"/>
  <c r="C26" i="3"/>
  <c r="C103" i="2109"/>
  <c r="C102" i="2109"/>
  <c r="C99" i="2109"/>
  <c r="C81" i="2109"/>
  <c r="C80" i="2109"/>
  <c r="C79" i="2109"/>
  <c r="C78" i="2109"/>
  <c r="C77" i="2109"/>
  <c r="N9" i="2109" s="1"/>
  <c r="O9" i="2109" s="1"/>
  <c r="C75" i="2109"/>
  <c r="C72" i="2109"/>
  <c r="C71" i="2109"/>
  <c r="C70" i="2109"/>
  <c r="C69" i="2109"/>
  <c r="C68" i="2109"/>
  <c r="C67" i="2109"/>
  <c r="C65" i="2109"/>
  <c r="C64" i="2109"/>
  <c r="C62" i="2109"/>
  <c r="C61" i="2109"/>
  <c r="C60" i="2109"/>
  <c r="C59" i="2109"/>
  <c r="C57" i="2109"/>
  <c r="C56" i="2109"/>
  <c r="C55" i="2109"/>
  <c r="C36" i="2109"/>
  <c r="C30" i="2109"/>
  <c r="C29" i="2109"/>
  <c r="C28" i="2109"/>
  <c r="P8" i="2109" s="1"/>
  <c r="Q8" i="2109" s="1"/>
  <c r="C20" i="2109"/>
  <c r="P9" i="2109"/>
  <c r="Q9" i="2109" s="1"/>
  <c r="F9" i="2109"/>
  <c r="G9" i="2109" s="1"/>
  <c r="C9" i="2109"/>
  <c r="B9" i="2109"/>
  <c r="D9" i="2109" s="1"/>
  <c r="O8" i="2109"/>
  <c r="N8" i="2109"/>
  <c r="L8" i="2109"/>
  <c r="M8" i="2109" s="1"/>
  <c r="F8" i="2109"/>
  <c r="G8" i="2109" s="1"/>
  <c r="C8" i="2109"/>
  <c r="D8" i="2109" s="1"/>
  <c r="B8" i="2109"/>
  <c r="P7" i="2109"/>
  <c r="Q7" i="2109" s="1"/>
  <c r="O7" i="2109"/>
  <c r="N7" i="2109"/>
  <c r="L7" i="2109"/>
  <c r="M7" i="2109" s="1"/>
  <c r="F7" i="2109"/>
  <c r="G7" i="2109" s="1"/>
  <c r="C7" i="2109"/>
  <c r="B7" i="2109"/>
  <c r="D7" i="2109" s="1"/>
  <c r="P6" i="2109"/>
  <c r="Q6" i="2109" s="1"/>
  <c r="O6" i="2109"/>
  <c r="N6" i="2109"/>
  <c r="M6" i="2109"/>
  <c r="L6" i="2109"/>
  <c r="F6" i="2109"/>
  <c r="G6" i="2109" s="1"/>
  <c r="C6" i="2109"/>
  <c r="B6" i="2109"/>
  <c r="D6" i="2109" s="1"/>
  <c r="P5" i="2109"/>
  <c r="Q5" i="2109" s="1"/>
  <c r="O5" i="2109"/>
  <c r="N5" i="2109"/>
  <c r="L5" i="2109"/>
  <c r="M5" i="2109" s="1"/>
  <c r="F5" i="2109"/>
  <c r="G5" i="2109" s="1"/>
  <c r="C5" i="2109"/>
  <c r="B5" i="2109"/>
  <c r="D5" i="2109" s="1"/>
  <c r="P4" i="2109"/>
  <c r="Q4" i="2109" s="1"/>
  <c r="O4" i="2109"/>
  <c r="N4" i="2109"/>
  <c r="L4" i="2109"/>
  <c r="M4" i="2109" s="1"/>
  <c r="F4" i="2109"/>
  <c r="G4" i="2109" s="1"/>
  <c r="C4" i="2109"/>
  <c r="B4" i="2109"/>
  <c r="D4" i="2109" s="1"/>
  <c r="P3" i="2109"/>
  <c r="Q3" i="2109" s="1"/>
  <c r="O3" i="2109"/>
  <c r="N3" i="2109"/>
  <c r="L3" i="2109"/>
  <c r="M3" i="2109" s="1"/>
  <c r="F3" i="2109"/>
  <c r="G3" i="2109" s="1"/>
  <c r="C3" i="2109"/>
  <c r="B3" i="2109"/>
  <c r="D3" i="2109" s="1"/>
  <c r="P2" i="2109"/>
  <c r="Q2" i="2109" s="1"/>
  <c r="N2" i="2109"/>
  <c r="O2" i="2109" s="1"/>
  <c r="L2" i="2109"/>
  <c r="M2" i="2109" s="1"/>
  <c r="F2" i="2109"/>
  <c r="G2" i="2109" s="1"/>
  <c r="C2" i="2109"/>
  <c r="B2" i="2109"/>
  <c r="D2" i="2109" s="1"/>
  <c r="B37" i="2107"/>
  <c r="B36" i="2107"/>
  <c r="B32" i="2107"/>
  <c r="B33" i="2107" l="1"/>
  <c r="R6" i="2109"/>
  <c r="J6" i="2109"/>
  <c r="K6" i="2109" s="1"/>
  <c r="H6" i="2109"/>
  <c r="I6" i="2109" s="1"/>
  <c r="E6" i="2109"/>
  <c r="H7" i="2109"/>
  <c r="I7" i="2109" s="1"/>
  <c r="E7" i="2109"/>
  <c r="R7" i="2109"/>
  <c r="J7" i="2109"/>
  <c r="K7" i="2109" s="1"/>
  <c r="H8" i="2109"/>
  <c r="I8" i="2109" s="1"/>
  <c r="E8" i="2109"/>
  <c r="R8" i="2109"/>
  <c r="J8" i="2109"/>
  <c r="K8" i="2109" s="1"/>
  <c r="R5" i="2109"/>
  <c r="J5" i="2109"/>
  <c r="K5" i="2109" s="1"/>
  <c r="H5" i="2109"/>
  <c r="I5" i="2109" s="1"/>
  <c r="E5" i="2109"/>
  <c r="R4" i="2109"/>
  <c r="J4" i="2109"/>
  <c r="K4" i="2109" s="1"/>
  <c r="H4" i="2109"/>
  <c r="I4" i="2109" s="1"/>
  <c r="E4" i="2109"/>
  <c r="E3" i="2109"/>
  <c r="R3" i="2109"/>
  <c r="J3" i="2109"/>
  <c r="K3" i="2109" s="1"/>
  <c r="H3" i="2109"/>
  <c r="I3" i="2109" s="1"/>
  <c r="E2" i="2109"/>
  <c r="J2" i="2109"/>
  <c r="K2" i="2109" s="1"/>
  <c r="H2" i="2109"/>
  <c r="I2" i="2109" s="1"/>
  <c r="E9" i="2109"/>
  <c r="R9" i="2109"/>
  <c r="J9" i="2109"/>
  <c r="K9" i="2109" s="1"/>
  <c r="H9" i="2109"/>
  <c r="I9" i="2109" s="1"/>
  <c r="L9" i="2109"/>
  <c r="M9" i="2109" s="1"/>
  <c r="B15" i="28" l="1"/>
  <c r="B16" i="28"/>
  <c r="B2" i="1"/>
  <c r="B3" i="1"/>
  <c r="C99" i="28"/>
  <c r="D99" i="28"/>
  <c r="C100" i="28"/>
  <c r="D100" i="28"/>
  <c r="E100" i="28"/>
  <c r="C101" i="28"/>
  <c r="D101" i="28"/>
  <c r="E101" i="28"/>
  <c r="C102" i="28"/>
  <c r="D102" i="28"/>
  <c r="C103" i="28"/>
  <c r="D103" i="28"/>
  <c r="C104" i="28"/>
  <c r="D104" i="28"/>
  <c r="C105" i="28"/>
  <c r="D105" i="28"/>
  <c r="C106" i="28"/>
  <c r="D106" i="28"/>
  <c r="C107" i="28"/>
  <c r="D107" i="28"/>
  <c r="C108" i="28"/>
  <c r="D108" i="28"/>
  <c r="C109" i="28"/>
  <c r="D109" i="28"/>
  <c r="C110" i="28"/>
  <c r="D110" i="28"/>
  <c r="C111" i="28"/>
  <c r="D111" i="28"/>
  <c r="C112" i="28"/>
  <c r="D112" i="28"/>
  <c r="C113" i="28"/>
  <c r="D113" i="28"/>
  <c r="C114" i="28"/>
  <c r="D114" i="28"/>
  <c r="C115" i="28"/>
  <c r="D115" i="28"/>
  <c r="C116" i="28"/>
  <c r="D116" i="28"/>
  <c r="C117" i="28"/>
  <c r="D117" i="28"/>
  <c r="C118" i="28"/>
  <c r="D118" i="28"/>
  <c r="C119" i="28"/>
  <c r="D119" i="28"/>
  <c r="C123" i="28"/>
  <c r="D123" i="28"/>
  <c r="C124" i="28"/>
  <c r="D124" i="28"/>
  <c r="E124" i="28"/>
  <c r="C125" i="28"/>
  <c r="D125" i="28"/>
  <c r="E125" i="28"/>
  <c r="C126" i="28"/>
  <c r="D126" i="28"/>
  <c r="C127" i="28"/>
  <c r="D127" i="28"/>
  <c r="C128" i="28"/>
  <c r="D128" i="28"/>
  <c r="C129" i="28"/>
  <c r="D129" i="28"/>
  <c r="C130" i="28"/>
  <c r="D130" i="28"/>
  <c r="C131" i="28"/>
  <c r="D131" i="28"/>
  <c r="C132" i="28"/>
  <c r="D132" i="28"/>
  <c r="C133" i="28"/>
  <c r="D133" i="28"/>
  <c r="C134" i="28"/>
  <c r="D134" i="28"/>
  <c r="C135" i="28"/>
  <c r="D135" i="28"/>
  <c r="C136" i="28"/>
  <c r="D136" i="28"/>
  <c r="C137" i="28"/>
  <c r="D137" i="28"/>
  <c r="C138" i="28"/>
  <c r="D138" i="28"/>
  <c r="C139" i="28"/>
  <c r="D139" i="28"/>
  <c r="C140" i="28"/>
  <c r="D140" i="28"/>
  <c r="C141" i="28"/>
  <c r="D141" i="28"/>
  <c r="C142" i="28"/>
  <c r="D142" i="28"/>
  <c r="C143" i="28"/>
  <c r="D143" i="28"/>
  <c r="C147" i="28"/>
  <c r="D147" i="28"/>
  <c r="C148" i="28"/>
  <c r="D148" i="28"/>
  <c r="E148" i="28"/>
  <c r="C149" i="28"/>
  <c r="D149" i="28"/>
  <c r="E149" i="28"/>
  <c r="C150" i="28"/>
  <c r="D150" i="28"/>
  <c r="C151" i="28"/>
  <c r="D151" i="28"/>
  <c r="C152" i="28"/>
  <c r="D152" i="28"/>
  <c r="C153" i="28"/>
  <c r="D153" i="28"/>
  <c r="C154" i="28"/>
  <c r="D154" i="28"/>
  <c r="C155" i="28"/>
  <c r="D155" i="28"/>
  <c r="C156" i="28"/>
  <c r="D156" i="28"/>
  <c r="C157" i="28"/>
  <c r="D157" i="28"/>
  <c r="C158" i="28"/>
  <c r="D158" i="28"/>
  <c r="C159" i="28"/>
  <c r="D159" i="28"/>
  <c r="C160" i="28"/>
  <c r="D160" i="28"/>
  <c r="C161" i="28"/>
  <c r="D161" i="28"/>
  <c r="C162" i="28"/>
  <c r="D162" i="28"/>
  <c r="C163" i="28"/>
  <c r="D163" i="28"/>
  <c r="C164" i="28"/>
  <c r="D164" i="28"/>
  <c r="C165" i="28"/>
  <c r="D165" i="28"/>
  <c r="C166" i="28"/>
  <c r="D166" i="28"/>
  <c r="C167" i="28"/>
  <c r="D167" i="28"/>
  <c r="C171" i="28"/>
  <c r="D171" i="28"/>
  <c r="C172" i="28"/>
  <c r="D172" i="28"/>
  <c r="E172" i="28"/>
  <c r="C173" i="28"/>
  <c r="D173" i="28"/>
  <c r="E173" i="28"/>
  <c r="C174" i="28"/>
  <c r="D174" i="28"/>
  <c r="C175" i="28"/>
  <c r="D175" i="28"/>
  <c r="C176" i="28"/>
  <c r="D176" i="28"/>
  <c r="C177" i="28"/>
  <c r="D177" i="28"/>
  <c r="C178" i="28"/>
  <c r="D178" i="28"/>
  <c r="C179" i="28"/>
  <c r="D179" i="28"/>
  <c r="C180" i="28"/>
  <c r="D180" i="28"/>
  <c r="C181" i="28"/>
  <c r="D181" i="28"/>
  <c r="C182" i="28"/>
  <c r="D182" i="28"/>
  <c r="C183" i="28"/>
  <c r="D183" i="28"/>
  <c r="C184" i="28"/>
  <c r="D184" i="28"/>
  <c r="C185" i="28"/>
  <c r="D185" i="28"/>
  <c r="C186" i="28"/>
  <c r="D186" i="28"/>
  <c r="C187" i="28"/>
  <c r="D187" i="28"/>
  <c r="C188" i="28"/>
  <c r="D188" i="28"/>
  <c r="C189" i="28"/>
  <c r="D189" i="28"/>
  <c r="C190" i="28"/>
  <c r="D190" i="28"/>
  <c r="C191" i="28"/>
  <c r="D191" i="28"/>
  <c r="C195" i="28"/>
  <c r="D195" i="28"/>
  <c r="C196" i="28"/>
  <c r="D196" i="28"/>
  <c r="E196" i="28"/>
  <c r="C197" i="28"/>
  <c r="D197" i="28"/>
  <c r="E197" i="28"/>
  <c r="C198" i="28"/>
  <c r="D198" i="28"/>
  <c r="C199" i="28"/>
  <c r="D199" i="28"/>
  <c r="C200" i="28"/>
  <c r="D200" i="28"/>
  <c r="C201" i="28"/>
  <c r="D201" i="28"/>
  <c r="C202" i="28"/>
  <c r="D202" i="28"/>
  <c r="C203" i="28"/>
  <c r="D203" i="28"/>
  <c r="C204" i="28"/>
  <c r="D204" i="28"/>
  <c r="C205" i="28"/>
  <c r="D205" i="28"/>
  <c r="C206" i="28"/>
  <c r="D206" i="28"/>
  <c r="C207" i="28"/>
  <c r="D207" i="28"/>
  <c r="C208" i="28"/>
  <c r="D208" i="28"/>
  <c r="C209" i="28"/>
  <c r="D209" i="28"/>
  <c r="C210" i="28"/>
  <c r="D210" i="28"/>
  <c r="C211" i="28"/>
  <c r="D211" i="28"/>
  <c r="C212" i="28"/>
  <c r="D212" i="28"/>
  <c r="C213" i="28"/>
  <c r="D213" i="28"/>
  <c r="C214" i="28"/>
  <c r="D214" i="28"/>
  <c r="C215" i="28"/>
  <c r="D215" i="28"/>
  <c r="C219" i="28"/>
  <c r="D219" i="28"/>
  <c r="C220" i="28"/>
  <c r="D220" i="28"/>
  <c r="E220" i="28"/>
  <c r="C221" i="28"/>
  <c r="D221" i="28"/>
  <c r="E221" i="28"/>
  <c r="C222" i="28"/>
  <c r="D222" i="28"/>
  <c r="C223" i="28"/>
  <c r="D223" i="28"/>
  <c r="C224" i="28"/>
  <c r="D224" i="28"/>
  <c r="C225" i="28"/>
  <c r="D225" i="28"/>
  <c r="C226" i="28"/>
  <c r="D226" i="28"/>
  <c r="C227" i="28"/>
  <c r="D227" i="28"/>
  <c r="C228" i="28"/>
  <c r="D228" i="28"/>
  <c r="C229" i="28"/>
  <c r="D229" i="28"/>
  <c r="C230" i="28"/>
  <c r="D230" i="28"/>
  <c r="C231" i="28"/>
  <c r="D231" i="28"/>
  <c r="C232" i="28"/>
  <c r="D232" i="28"/>
  <c r="C233" i="28"/>
  <c r="D233" i="28"/>
  <c r="C234" i="28"/>
  <c r="D234" i="28"/>
  <c r="C235" i="28"/>
  <c r="D235" i="28"/>
  <c r="C236" i="28"/>
  <c r="D236" i="28"/>
  <c r="C237" i="28"/>
  <c r="D237" i="28"/>
  <c r="C238" i="28"/>
  <c r="D238" i="28"/>
  <c r="C239" i="28"/>
  <c r="D239" i="28"/>
  <c r="C243" i="28"/>
  <c r="D243" i="28"/>
  <c r="C244" i="28"/>
  <c r="D244" i="28"/>
  <c r="E244" i="28"/>
  <c r="C245" i="28"/>
  <c r="D245" i="28"/>
  <c r="E245" i="28"/>
  <c r="C246" i="28"/>
  <c r="D246" i="28"/>
  <c r="C247" i="28"/>
  <c r="D247" i="28"/>
  <c r="C248" i="28"/>
  <c r="D248" i="28"/>
  <c r="C249" i="28"/>
  <c r="D249" i="28"/>
  <c r="C250" i="28"/>
  <c r="D250" i="28"/>
  <c r="C251" i="28"/>
  <c r="D251" i="28"/>
  <c r="C252" i="28"/>
  <c r="D252" i="28"/>
  <c r="C253" i="28"/>
  <c r="D253" i="28"/>
  <c r="C254" i="28"/>
  <c r="D254" i="28"/>
  <c r="C255" i="28"/>
  <c r="D255" i="28"/>
  <c r="C256" i="28"/>
  <c r="D256" i="28"/>
  <c r="C257" i="28"/>
  <c r="D257" i="28"/>
  <c r="C258" i="28"/>
  <c r="D258" i="28"/>
  <c r="C259" i="28"/>
  <c r="D259" i="28"/>
  <c r="C260" i="28"/>
  <c r="D260" i="28"/>
  <c r="C261" i="28"/>
  <c r="D261" i="28"/>
  <c r="C262" i="28"/>
  <c r="D262" i="28"/>
  <c r="C263" i="28"/>
  <c r="D263" i="28"/>
  <c r="C267" i="28"/>
  <c r="D267" i="28"/>
  <c r="C268" i="28"/>
  <c r="D268" i="28"/>
  <c r="E268" i="28"/>
  <c r="C269" i="28"/>
  <c r="D269" i="28"/>
  <c r="E269" i="28"/>
  <c r="C270" i="28"/>
  <c r="D270" i="28"/>
  <c r="C271" i="28"/>
  <c r="D271" i="28"/>
  <c r="C272" i="28"/>
  <c r="D272" i="28"/>
  <c r="C273" i="28"/>
  <c r="D273" i="28"/>
  <c r="C274" i="28"/>
  <c r="D274" i="28"/>
  <c r="C275" i="28"/>
  <c r="D275" i="28"/>
  <c r="C276" i="28"/>
  <c r="D276" i="28"/>
  <c r="C277" i="28"/>
  <c r="D277" i="28"/>
  <c r="C278" i="28"/>
  <c r="D278" i="28"/>
  <c r="C279" i="28"/>
  <c r="D279" i="28"/>
  <c r="C280" i="28"/>
  <c r="D280" i="28"/>
  <c r="C281" i="28"/>
  <c r="D281" i="28"/>
  <c r="C282" i="28"/>
  <c r="D282" i="28"/>
  <c r="C283" i="28"/>
  <c r="D283" i="28"/>
  <c r="C284" i="28"/>
  <c r="D284" i="28"/>
  <c r="C285" i="28"/>
  <c r="D285" i="28"/>
  <c r="C286" i="28"/>
  <c r="D286" i="28"/>
  <c r="C287" i="28"/>
  <c r="D287" i="28"/>
  <c r="C291" i="28"/>
  <c r="D291" i="28"/>
  <c r="C292" i="28"/>
  <c r="D292" i="28"/>
  <c r="E292" i="28"/>
  <c r="C293" i="28"/>
  <c r="D293" i="28"/>
  <c r="E293" i="28"/>
  <c r="C294" i="28"/>
  <c r="D294" i="28"/>
  <c r="C295" i="28"/>
  <c r="D295" i="28"/>
  <c r="C296" i="28"/>
  <c r="D296" i="28"/>
  <c r="C297" i="28"/>
  <c r="D297" i="28"/>
  <c r="C298" i="28"/>
  <c r="D298" i="28"/>
  <c r="C299" i="28"/>
  <c r="D299" i="28"/>
  <c r="C300" i="28"/>
  <c r="D300" i="28"/>
  <c r="C301" i="28"/>
  <c r="D301" i="28"/>
  <c r="C302" i="28"/>
  <c r="D302" i="28"/>
  <c r="C303" i="28"/>
  <c r="D303" i="28"/>
  <c r="C304" i="28"/>
  <c r="D304" i="28"/>
  <c r="C305" i="28"/>
  <c r="D305" i="28"/>
  <c r="C306" i="28"/>
  <c r="D306" i="28"/>
  <c r="C307" i="28"/>
  <c r="D307" i="28"/>
  <c r="C308" i="28"/>
  <c r="D308" i="28"/>
  <c r="C309" i="28"/>
  <c r="D309" i="28"/>
  <c r="C310" i="28"/>
  <c r="D310" i="28"/>
  <c r="C311" i="28"/>
  <c r="D311" i="28"/>
  <c r="C315" i="28"/>
  <c r="D315" i="28"/>
  <c r="C316" i="28"/>
  <c r="D316" i="28"/>
  <c r="E316" i="28"/>
  <c r="C317" i="28"/>
  <c r="D317" i="28"/>
  <c r="E317" i="28"/>
  <c r="C318" i="28"/>
  <c r="D318" i="28"/>
  <c r="C319" i="28"/>
  <c r="D319" i="28"/>
  <c r="C320" i="28"/>
  <c r="D320" i="28"/>
  <c r="C321" i="28"/>
  <c r="D321" i="28"/>
  <c r="C322" i="28"/>
  <c r="D322" i="28"/>
  <c r="C323" i="28"/>
  <c r="D323" i="28"/>
  <c r="C324" i="28"/>
  <c r="D324" i="28"/>
  <c r="C325" i="28"/>
  <c r="D325" i="28"/>
  <c r="C326" i="28"/>
  <c r="D326" i="28"/>
  <c r="C327" i="28"/>
  <c r="D327" i="28"/>
  <c r="C328" i="28"/>
  <c r="D328" i="28"/>
  <c r="C329" i="28"/>
  <c r="D329" i="28"/>
  <c r="C330" i="28"/>
  <c r="D330" i="28"/>
  <c r="C331" i="28"/>
  <c r="D331" i="28"/>
  <c r="C332" i="28"/>
  <c r="D332" i="28"/>
  <c r="C333" i="28"/>
  <c r="D333" i="28"/>
  <c r="C334" i="28"/>
  <c r="D334" i="28"/>
  <c r="C335" i="28"/>
  <c r="D335" i="28"/>
  <c r="C339" i="28"/>
  <c r="D339" i="28"/>
  <c r="C340" i="28"/>
  <c r="D340" i="28"/>
  <c r="E340" i="28"/>
  <c r="C341" i="28"/>
  <c r="D341" i="28"/>
  <c r="E341" i="28"/>
  <c r="C342" i="28"/>
  <c r="D342" i="28"/>
  <c r="C343" i="28"/>
  <c r="D343" i="28"/>
  <c r="C344" i="28"/>
  <c r="D344" i="28"/>
  <c r="C345" i="28"/>
  <c r="D345" i="28"/>
  <c r="C346" i="28"/>
  <c r="D346" i="28"/>
  <c r="C347" i="28"/>
  <c r="D347" i="28"/>
  <c r="C348" i="28"/>
  <c r="D348" i="28"/>
  <c r="C349" i="28"/>
  <c r="D349" i="28"/>
  <c r="C350" i="28"/>
  <c r="D350" i="28"/>
  <c r="C351" i="28"/>
  <c r="D351" i="28"/>
  <c r="C352" i="28"/>
  <c r="D352" i="28"/>
  <c r="C353" i="28"/>
  <c r="D353" i="28"/>
  <c r="C354" i="28"/>
  <c r="D354" i="28"/>
  <c r="C355" i="28"/>
  <c r="D355" i="28"/>
  <c r="C356" i="28"/>
  <c r="D356" i="28"/>
  <c r="C357" i="28"/>
  <c r="D357" i="28"/>
  <c r="C358" i="28"/>
  <c r="D358" i="28"/>
  <c r="C359" i="28"/>
  <c r="D359" i="28"/>
  <c r="A29" i="3"/>
  <c r="C29" i="3" s="1"/>
  <c r="E80" i="28"/>
  <c r="C80" i="28"/>
  <c r="I78" i="28"/>
  <c r="I77" i="28"/>
  <c r="I76" i="28"/>
  <c r="I75" i="28"/>
  <c r="I74" i="28"/>
  <c r="I73" i="28"/>
  <c r="I72" i="28"/>
  <c r="I71" i="28"/>
  <c r="I70" i="28"/>
  <c r="D52" i="28"/>
  <c r="C52" i="28"/>
  <c r="D51" i="28"/>
  <c r="C51" i="28"/>
  <c r="D50" i="28"/>
  <c r="C50" i="28"/>
  <c r="D49" i="28"/>
  <c r="C49" i="28"/>
  <c r="D48" i="28"/>
  <c r="C48" i="28"/>
  <c r="D47" i="28"/>
  <c r="C47" i="28"/>
  <c r="D46" i="28"/>
  <c r="C46" i="28"/>
  <c r="D45" i="28"/>
  <c r="C45" i="28"/>
  <c r="D44" i="28"/>
  <c r="C44" i="28"/>
  <c r="D43" i="28"/>
  <c r="C43" i="28"/>
  <c r="D42" i="28"/>
  <c r="C42" i="28"/>
  <c r="B32" i="28"/>
  <c r="B31" i="28"/>
  <c r="B30" i="28"/>
  <c r="B29" i="28"/>
  <c r="B24" i="28" s="1"/>
  <c r="G28" i="28"/>
  <c r="B26" i="28"/>
  <c r="B25" i="28"/>
  <c r="B14" i="19"/>
  <c r="B15" i="19"/>
  <c r="B16" i="19"/>
  <c r="B17" i="19"/>
  <c r="B18" i="19"/>
  <c r="B19" i="19"/>
  <c r="B20" i="19"/>
  <c r="B21" i="19"/>
  <c r="B22" i="19"/>
  <c r="B23" i="19"/>
  <c r="B24" i="19"/>
  <c r="B25" i="19"/>
  <c r="B26" i="19"/>
  <c r="B27" i="19"/>
  <c r="B28" i="19"/>
  <c r="B29" i="19"/>
  <c r="B13" i="19"/>
  <c r="B9" i="2117" s="1"/>
  <c r="L129" i="1"/>
  <c r="L159" i="1"/>
  <c r="L139" i="1"/>
  <c r="L124" i="1"/>
  <c r="L109" i="1"/>
  <c r="E70" i="3"/>
  <c r="E69" i="3"/>
  <c r="E68" i="3"/>
  <c r="E67" i="3"/>
  <c r="E82" i="3"/>
  <c r="E81" i="3"/>
  <c r="E80" i="3"/>
  <c r="E79" i="3"/>
  <c r="E78" i="3"/>
  <c r="E77" i="3"/>
  <c r="E76" i="3"/>
  <c r="E75" i="3"/>
  <c r="E74" i="3"/>
  <c r="E73" i="3"/>
  <c r="E72" i="3"/>
  <c r="E71" i="3"/>
  <c r="E66" i="3"/>
  <c r="E98" i="1"/>
  <c r="C64" i="2113" s="1"/>
  <c r="C70" i="2118" s="1"/>
  <c r="E97" i="1"/>
  <c r="C63" i="2113" s="1"/>
  <c r="C69" i="2118" s="1"/>
  <c r="E96" i="1"/>
  <c r="C62" i="2113" s="1"/>
  <c r="C68" i="2118" s="1"/>
  <c r="E95" i="1"/>
  <c r="C61" i="2113" s="1"/>
  <c r="C67" i="2118" s="1"/>
  <c r="E94" i="1"/>
  <c r="C60" i="2113" s="1"/>
  <c r="C66" i="2118" s="1"/>
  <c r="E93" i="1"/>
  <c r="C59" i="2113" s="1"/>
  <c r="C65" i="2118" s="1"/>
  <c r="E91" i="1"/>
  <c r="C57" i="2113" s="1"/>
  <c r="C63" i="2118" s="1"/>
  <c r="E92" i="1"/>
  <c r="C58" i="2113" s="1"/>
  <c r="C64" i="2118" s="1"/>
  <c r="E90" i="1"/>
  <c r="C56" i="2113" s="1"/>
  <c r="C62" i="2118" s="1"/>
  <c r="L73" i="1"/>
  <c r="L74" i="1"/>
  <c r="L75" i="1"/>
  <c r="L76" i="1"/>
  <c r="L77" i="1"/>
  <c r="L78" i="1"/>
  <c r="L79" i="1"/>
  <c r="E51" i="1"/>
  <c r="E50" i="1"/>
  <c r="E49" i="1"/>
  <c r="E48" i="1"/>
  <c r="E47" i="1"/>
  <c r="E46" i="1"/>
  <c r="E45" i="1"/>
  <c r="E44" i="1"/>
  <c r="E43" i="1"/>
  <c r="D38" i="1"/>
  <c r="K38" i="1" s="1"/>
  <c r="E37" i="1"/>
  <c r="E36" i="1"/>
  <c r="E35" i="1"/>
  <c r="E34" i="1"/>
  <c r="E33" i="1"/>
  <c r="E32" i="1"/>
  <c r="E31" i="1"/>
  <c r="E30" i="1"/>
  <c r="E29" i="1"/>
  <c r="E28" i="1"/>
  <c r="E27" i="1"/>
  <c r="E26" i="1"/>
  <c r="E25" i="1"/>
  <c r="E24" i="1"/>
  <c r="E23" i="1"/>
  <c r="E22" i="1"/>
  <c r="K159" i="1"/>
  <c r="K154" i="1"/>
  <c r="K149" i="1"/>
  <c r="K144" i="1"/>
  <c r="K139" i="1"/>
  <c r="K134" i="1"/>
  <c r="K129" i="1"/>
  <c r="K124" i="1"/>
  <c r="K119" i="1"/>
  <c r="K114" i="1"/>
  <c r="K109" i="1"/>
  <c r="K104" i="1"/>
  <c r="A30" i="3"/>
  <c r="L98" i="1"/>
  <c r="L97" i="1"/>
  <c r="L96" i="1"/>
  <c r="L67" i="1"/>
  <c r="L66" i="1"/>
  <c r="L65" i="1"/>
  <c r="L64" i="1"/>
  <c r="L63" i="1"/>
  <c r="R84" i="1"/>
  <c r="R83" i="1"/>
  <c r="L82" i="1"/>
  <c r="L81" i="1"/>
  <c r="L80" i="1"/>
  <c r="L60" i="1"/>
  <c r="L58" i="1"/>
  <c r="L57" i="1"/>
  <c r="L84" i="1"/>
  <c r="L61" i="1"/>
  <c r="L62" i="1"/>
  <c r="L59" i="1"/>
  <c r="L83" i="1"/>
  <c r="L51" i="1"/>
  <c r="L50" i="1"/>
  <c r="L49" i="1"/>
  <c r="L48" i="1"/>
  <c r="L47" i="1"/>
  <c r="L46" i="1"/>
  <c r="L45" i="1"/>
  <c r="L44" i="1"/>
  <c r="L43" i="1"/>
  <c r="L37" i="1"/>
  <c r="L36" i="1"/>
  <c r="L35" i="1"/>
  <c r="L34" i="1"/>
  <c r="L33" i="1"/>
  <c r="L32" i="1"/>
  <c r="L31" i="1"/>
  <c r="L30" i="1"/>
  <c r="L29" i="1"/>
  <c r="L28" i="1"/>
  <c r="L27" i="1"/>
  <c r="L26" i="1"/>
  <c r="L25" i="1"/>
  <c r="L24" i="1"/>
  <c r="L23" i="1"/>
  <c r="L22" i="1"/>
  <c r="B6" i="1"/>
  <c r="B5" i="1"/>
  <c r="B4" i="1"/>
  <c r="F29" i="19" l="1" a="1"/>
  <c r="F29" i="19" s="1"/>
  <c r="F25" i="2117" s="1"/>
  <c r="B25" i="2117"/>
  <c r="F28" i="19" a="1"/>
  <c r="F28" i="19" s="1"/>
  <c r="F24" i="2117" s="1"/>
  <c r="B24" i="2117"/>
  <c r="F27" i="19" a="1"/>
  <c r="F27" i="19" s="1"/>
  <c r="F23" i="2117" s="1"/>
  <c r="B23" i="2117"/>
  <c r="F26" i="19" a="1"/>
  <c r="F26" i="19" s="1"/>
  <c r="F22" i="2117" s="1"/>
  <c r="B22" i="2117"/>
  <c r="F25" i="19" a="1"/>
  <c r="F25" i="19" s="1"/>
  <c r="F21" i="2117" s="1"/>
  <c r="B21" i="2117"/>
  <c r="F23" i="19" a="1"/>
  <c r="F23" i="19" s="1"/>
  <c r="F19" i="2117" s="1"/>
  <c r="B19" i="2117"/>
  <c r="F22" i="19" a="1"/>
  <c r="F22" i="19" s="1"/>
  <c r="F18" i="2117" s="1"/>
  <c r="B18" i="2117"/>
  <c r="F24" i="19" a="1"/>
  <c r="F24" i="19" s="1"/>
  <c r="F20" i="2117" s="1"/>
  <c r="B20" i="2117"/>
  <c r="F21" i="19" a="1"/>
  <c r="F21" i="19" s="1"/>
  <c r="F17" i="2117" s="1"/>
  <c r="B17" i="2117"/>
  <c r="F20" i="19" a="1"/>
  <c r="F20" i="19" s="1"/>
  <c r="F16" i="2117" s="1"/>
  <c r="B16" i="2117"/>
  <c r="F19" i="19" a="1"/>
  <c r="F19" i="19" s="1"/>
  <c r="F15" i="2117" s="1"/>
  <c r="B15" i="2117"/>
  <c r="J92" i="1"/>
  <c r="F58" i="2113" s="1"/>
  <c r="F64" i="2118" s="1"/>
  <c r="J96" i="1"/>
  <c r="F62" i="2113" s="1"/>
  <c r="F68" i="2118" s="1"/>
  <c r="J91" i="1"/>
  <c r="F57" i="2113" s="1"/>
  <c r="F63" i="2118" s="1"/>
  <c r="J95" i="1"/>
  <c r="F61" i="2113" s="1"/>
  <c r="F67" i="2118" s="1"/>
  <c r="J94" i="1"/>
  <c r="F60" i="2113" s="1"/>
  <c r="F66" i="2118" s="1"/>
  <c r="J98" i="1"/>
  <c r="F64" i="2113" s="1"/>
  <c r="F70" i="2118" s="1"/>
  <c r="J93" i="1"/>
  <c r="F59" i="2113" s="1"/>
  <c r="F65" i="2118" s="1"/>
  <c r="J90" i="1"/>
  <c r="F56" i="2113" s="1"/>
  <c r="F62" i="2118" s="1"/>
  <c r="J97" i="1"/>
  <c r="F63" i="2113" s="1"/>
  <c r="F69" i="2118" s="1"/>
  <c r="J99" i="1"/>
  <c r="F65" i="2113" s="1"/>
  <c r="F71" i="2118" s="1"/>
  <c r="F18" i="19" a="1"/>
  <c r="F18" i="19" s="1"/>
  <c r="F14" i="2117" s="1"/>
  <c r="B14" i="2117"/>
  <c r="I96" i="1"/>
  <c r="E62" i="2113" s="1"/>
  <c r="E68" i="2118" s="1"/>
  <c r="I92" i="1"/>
  <c r="E58" i="2113" s="1"/>
  <c r="E64" i="2118" s="1"/>
  <c r="I91" i="1"/>
  <c r="E57" i="2113" s="1"/>
  <c r="E63" i="2118" s="1"/>
  <c r="I94" i="1"/>
  <c r="E60" i="2113" s="1"/>
  <c r="E66" i="2118" s="1"/>
  <c r="I95" i="1"/>
  <c r="E61" i="2113" s="1"/>
  <c r="E67" i="2118" s="1"/>
  <c r="I98" i="1"/>
  <c r="E64" i="2113" s="1"/>
  <c r="E70" i="2118" s="1"/>
  <c r="I90" i="1"/>
  <c r="E56" i="2113" s="1"/>
  <c r="E62" i="2118" s="1"/>
  <c r="I93" i="1"/>
  <c r="E59" i="2113" s="1"/>
  <c r="E65" i="2118" s="1"/>
  <c r="I97" i="1"/>
  <c r="E63" i="2113" s="1"/>
  <c r="E69" i="2118" s="1"/>
  <c r="I99" i="1"/>
  <c r="E65" i="2113" s="1"/>
  <c r="E71" i="2118" s="1"/>
  <c r="B13" i="2117"/>
  <c r="F17" i="19" a="1"/>
  <c r="F17" i="19" s="1"/>
  <c r="F13" i="2117" s="1"/>
  <c r="B12" i="2117"/>
  <c r="F16" i="19" a="1"/>
  <c r="F16" i="19" s="1"/>
  <c r="F12" i="2117" s="1"/>
  <c r="B11" i="2117"/>
  <c r="F15" i="19" a="1"/>
  <c r="F15" i="19" s="1"/>
  <c r="F11" i="2117" s="1"/>
  <c r="F14" i="19" a="1"/>
  <c r="F14" i="19" s="1"/>
  <c r="F10" i="2117" s="1"/>
  <c r="B10" i="2117"/>
  <c r="C13" i="19"/>
  <c r="C9" i="2117" s="1"/>
  <c r="E13" i="19" a="1"/>
  <c r="E13" i="19" s="1"/>
  <c r="D13" i="19" a="1"/>
  <c r="D13" i="19" s="1"/>
  <c r="D9" i="2117" s="1"/>
  <c r="G29" i="19" a="1"/>
  <c r="G29" i="19" s="1"/>
  <c r="G25" i="2117" s="1"/>
  <c r="E29" i="19" a="1"/>
  <c r="E29" i="19" s="1"/>
  <c r="E25" i="2117" s="1"/>
  <c r="C29" i="19"/>
  <c r="C25" i="2117" s="1"/>
  <c r="D29" i="19" a="1"/>
  <c r="D29" i="19" s="1"/>
  <c r="D25" i="2117" s="1"/>
  <c r="E27" i="19" a="1"/>
  <c r="E27" i="19" s="1"/>
  <c r="E23" i="2117" s="1"/>
  <c r="C27" i="19"/>
  <c r="C23" i="2117" s="1"/>
  <c r="G27" i="19" a="1"/>
  <c r="G27" i="19" s="1"/>
  <c r="G23" i="2117" s="1"/>
  <c r="D27" i="19" a="1"/>
  <c r="D27" i="19" s="1"/>
  <c r="D23" i="2117" s="1"/>
  <c r="C25" i="19"/>
  <c r="C21" i="2117" s="1"/>
  <c r="D25" i="19" a="1"/>
  <c r="D25" i="19" s="1"/>
  <c r="D21" i="2117" s="1"/>
  <c r="E25" i="19" a="1"/>
  <c r="E25" i="19" s="1"/>
  <c r="E21" i="2117" s="1"/>
  <c r="G24" i="19" a="1"/>
  <c r="G24" i="19" s="1"/>
  <c r="G20" i="2117" s="1"/>
  <c r="E24" i="19" a="1"/>
  <c r="E24" i="19" s="1"/>
  <c r="E20" i="2117" s="1"/>
  <c r="C24" i="19"/>
  <c r="C20" i="2117" s="1"/>
  <c r="D24" i="19" a="1"/>
  <c r="D24" i="19" s="1"/>
  <c r="D20" i="2117" s="1"/>
  <c r="G23" i="19" a="1"/>
  <c r="G23" i="19" s="1"/>
  <c r="G19" i="2117" s="1"/>
  <c r="C23" i="19"/>
  <c r="C19" i="2117" s="1"/>
  <c r="E23" i="19" a="1"/>
  <c r="E23" i="19" s="1"/>
  <c r="E19" i="2117" s="1"/>
  <c r="D23" i="19" a="1"/>
  <c r="D23" i="19" s="1"/>
  <c r="D19" i="2117" s="1"/>
  <c r="D22" i="19" a="1"/>
  <c r="D22" i="19" s="1"/>
  <c r="D18" i="2117" s="1"/>
  <c r="G22" i="19" a="1"/>
  <c r="G22" i="19" s="1"/>
  <c r="G18" i="2117" s="1"/>
  <c r="E22" i="19" a="1"/>
  <c r="E22" i="19" s="1"/>
  <c r="E18" i="2117" s="1"/>
  <c r="C22" i="19"/>
  <c r="C18" i="2117" s="1"/>
  <c r="D20" i="19" a="1"/>
  <c r="D20" i="19" s="1"/>
  <c r="D16" i="2117" s="1"/>
  <c r="G20" i="19" a="1"/>
  <c r="G20" i="19" s="1"/>
  <c r="G16" i="2117" s="1"/>
  <c r="E20" i="19" a="1"/>
  <c r="E20" i="19" s="1"/>
  <c r="E16" i="2117" s="1"/>
  <c r="C20" i="19"/>
  <c r="C16" i="2117" s="1"/>
  <c r="G19" i="19" a="1"/>
  <c r="G19" i="19" s="1"/>
  <c r="G15" i="2117" s="1"/>
  <c r="D19" i="19" a="1"/>
  <c r="D19" i="19" s="1"/>
  <c r="D15" i="2117" s="1"/>
  <c r="C19" i="19"/>
  <c r="C15" i="2117" s="1"/>
  <c r="E19" i="19" a="1"/>
  <c r="E19" i="19" s="1"/>
  <c r="E15" i="2117" s="1"/>
  <c r="C18" i="19"/>
  <c r="C14" i="2117" s="1"/>
  <c r="G18" i="19" a="1"/>
  <c r="G18" i="19" s="1"/>
  <c r="G14" i="2117" s="1"/>
  <c r="E18" i="19" a="1"/>
  <c r="E18" i="19" s="1"/>
  <c r="E14" i="2117" s="1"/>
  <c r="D18" i="19" a="1"/>
  <c r="D18" i="19" s="1"/>
  <c r="D14" i="2117" s="1"/>
  <c r="E17" i="19" a="1"/>
  <c r="E17" i="19" s="1"/>
  <c r="E13" i="2117" s="1"/>
  <c r="G17" i="19" a="1"/>
  <c r="G17" i="19" s="1"/>
  <c r="G13" i="2117" s="1"/>
  <c r="C17" i="19"/>
  <c r="C13" i="2117" s="1"/>
  <c r="D17" i="19" a="1"/>
  <c r="D17" i="19" s="1"/>
  <c r="D13" i="2117" s="1"/>
  <c r="G16" i="19" a="1"/>
  <c r="G16" i="19" s="1"/>
  <c r="G12" i="2117" s="1"/>
  <c r="C16" i="19"/>
  <c r="C12" i="2117" s="1"/>
  <c r="E16" i="19" a="1"/>
  <c r="E16" i="19" s="1"/>
  <c r="E12" i="2117" s="1"/>
  <c r="D16" i="19" a="1"/>
  <c r="D16" i="19" s="1"/>
  <c r="D12" i="2117" s="1"/>
  <c r="G28" i="19" a="1"/>
  <c r="G28" i="19" s="1"/>
  <c r="G24" i="2117" s="1"/>
  <c r="E28" i="19" a="1"/>
  <c r="E28" i="19" s="1"/>
  <c r="E24" i="2117" s="1"/>
  <c r="C28" i="19"/>
  <c r="C24" i="2117" s="1"/>
  <c r="D28" i="19" a="1"/>
  <c r="D28" i="19" s="1"/>
  <c r="D24" i="2117" s="1"/>
  <c r="C26" i="19"/>
  <c r="C22" i="2117" s="1"/>
  <c r="E26" i="19" a="1"/>
  <c r="E26" i="19" s="1"/>
  <c r="E22" i="2117" s="1"/>
  <c r="D21" i="19" a="1"/>
  <c r="D21" i="19" s="1"/>
  <c r="D17" i="2117" s="1"/>
  <c r="G21" i="19" a="1"/>
  <c r="G21" i="19" s="1"/>
  <c r="G17" i="2117" s="1"/>
  <c r="E21" i="19" a="1"/>
  <c r="E21" i="19" s="1"/>
  <c r="E17" i="2117" s="1"/>
  <c r="C21" i="19"/>
  <c r="C17" i="2117" s="1"/>
  <c r="C15" i="19"/>
  <c r="C11" i="2117" s="1"/>
  <c r="G15" i="19" a="1"/>
  <c r="G15" i="19" s="1"/>
  <c r="G11" i="2117" s="1"/>
  <c r="E15" i="19" a="1"/>
  <c r="E15" i="19" s="1"/>
  <c r="E11" i="2117" s="1"/>
  <c r="D15" i="19" a="1"/>
  <c r="D15" i="19" s="1"/>
  <c r="D11" i="2117" s="1"/>
  <c r="C14" i="19"/>
  <c r="C10" i="2117" s="1"/>
  <c r="G14" i="19" a="1"/>
  <c r="G14" i="19" s="1"/>
  <c r="G10" i="2117" s="1"/>
  <c r="E14" i="19" a="1"/>
  <c r="E14" i="19" s="1"/>
  <c r="E10" i="2117" s="1"/>
  <c r="D14" i="19" a="1"/>
  <c r="D14" i="19" s="1"/>
  <c r="D10" i="2117" s="1"/>
  <c r="L68" i="1"/>
  <c r="L144" i="1"/>
  <c r="L52" i="1"/>
  <c r="L114" i="1"/>
  <c r="L149" i="1"/>
  <c r="L99" i="1"/>
  <c r="L104" i="1"/>
  <c r="L39" i="1"/>
  <c r="L134" i="1"/>
  <c r="L119" i="1"/>
  <c r="L154" i="1"/>
  <c r="L85" i="1"/>
  <c r="B7" i="1"/>
  <c r="B11" i="1" s="1"/>
  <c r="B13" i="1" s="1"/>
  <c r="B160" i="28"/>
  <c r="B355" i="28"/>
  <c r="B100" i="28"/>
  <c r="B119" i="28"/>
  <c r="B116" i="28"/>
  <c r="B105" i="28"/>
  <c r="B107" i="28"/>
  <c r="B115" i="28"/>
  <c r="B113" i="28"/>
  <c r="B104" i="28"/>
  <c r="B51" i="28"/>
  <c r="B112" i="28"/>
  <c r="B109" i="28"/>
  <c r="B42" i="28"/>
  <c r="B101" i="28"/>
  <c r="B117" i="28"/>
  <c r="B106" i="28"/>
  <c r="B110" i="28"/>
  <c r="B108" i="28"/>
  <c r="B103" i="28"/>
  <c r="B111" i="28"/>
  <c r="B102" i="28"/>
  <c r="B114" i="28"/>
  <c r="B237" i="28"/>
  <c r="B99" i="28"/>
  <c r="B118" i="28"/>
  <c r="D11" i="1"/>
  <c r="A22" i="2114" l="1"/>
  <c r="E9" i="2117"/>
  <c r="D22" i="2114"/>
  <c r="B30" i="19"/>
  <c r="H3" i="28"/>
  <c r="B163" i="28"/>
  <c r="B155" i="28"/>
  <c r="B224" i="28"/>
  <c r="B317" i="28"/>
  <c r="B318" i="28"/>
  <c r="B225" i="28"/>
  <c r="B232" i="28"/>
  <c r="B349" i="28"/>
  <c r="B150" i="28"/>
  <c r="B339" i="28"/>
  <c r="B158" i="28"/>
  <c r="B344" i="28"/>
  <c r="B358" i="28"/>
  <c r="B352" i="28"/>
  <c r="D12" i="1"/>
  <c r="B239" i="28"/>
  <c r="B234" i="28"/>
  <c r="B226" i="28"/>
  <c r="B52" i="28"/>
  <c r="B346" i="28"/>
  <c r="B154" i="28"/>
  <c r="B152" i="28"/>
  <c r="B161" i="28"/>
  <c r="B153" i="28"/>
  <c r="B227" i="28"/>
  <c r="B223" i="28"/>
  <c r="B353" i="28"/>
  <c r="B359" i="28"/>
  <c r="B164" i="28"/>
  <c r="B44" i="28"/>
  <c r="B236" i="28"/>
  <c r="B347" i="28"/>
  <c r="B351" i="28"/>
  <c r="B350" i="28"/>
  <c r="B228" i="28"/>
  <c r="B162" i="28"/>
  <c r="B156" i="28"/>
  <c r="B148" i="28"/>
  <c r="B166" i="28"/>
  <c r="B159" i="28"/>
  <c r="B165" i="28"/>
  <c r="B235" i="28"/>
  <c r="B230" i="28"/>
  <c r="B345" i="28"/>
  <c r="B348" i="28"/>
  <c r="B149" i="28"/>
  <c r="B167" i="28"/>
  <c r="B151" i="28"/>
  <c r="B231" i="28"/>
  <c r="B233" i="28"/>
  <c r="B342" i="28"/>
  <c r="B341" i="28"/>
  <c r="B221" i="28"/>
  <c r="B238" i="28"/>
  <c r="B147" i="28"/>
  <c r="B157" i="28"/>
  <c r="B47" i="28"/>
  <c r="B220" i="28"/>
  <c r="D17" i="28"/>
  <c r="D13" i="28"/>
  <c r="B22" i="28" s="1"/>
  <c r="B267" i="28"/>
  <c r="B278" i="28"/>
  <c r="B273" i="28"/>
  <c r="B277" i="28"/>
  <c r="B272" i="28"/>
  <c r="B284" i="28"/>
  <c r="B274" i="28"/>
  <c r="B268" i="28"/>
  <c r="B49" i="28"/>
  <c r="B280" i="28"/>
  <c r="B286" i="28"/>
  <c r="B283" i="28"/>
  <c r="B270" i="28"/>
  <c r="B271" i="28"/>
  <c r="B276" i="28"/>
  <c r="B282" i="28"/>
  <c r="B279" i="28"/>
  <c r="B287" i="28"/>
  <c r="B281" i="28"/>
  <c r="B285" i="28"/>
  <c r="B269" i="28"/>
  <c r="B275" i="28"/>
  <c r="B215" i="28"/>
  <c r="B209" i="28"/>
  <c r="B203" i="28"/>
  <c r="B214" i="28"/>
  <c r="B204" i="28"/>
  <c r="B200" i="28"/>
  <c r="B201" i="28"/>
  <c r="B212" i="28"/>
  <c r="B195" i="28"/>
  <c r="B208" i="28"/>
  <c r="B199" i="28"/>
  <c r="B196" i="28"/>
  <c r="B213" i="28"/>
  <c r="B205" i="28"/>
  <c r="B210" i="28"/>
  <c r="B207" i="28"/>
  <c r="B202" i="28"/>
  <c r="B206" i="28"/>
  <c r="B197" i="28"/>
  <c r="B198" i="28"/>
  <c r="B46" i="28"/>
  <c r="B211" i="28"/>
  <c r="B130" i="28"/>
  <c r="B131" i="28"/>
  <c r="B142" i="28"/>
  <c r="B126" i="28"/>
  <c r="B123" i="28"/>
  <c r="B133" i="28"/>
  <c r="B136" i="28"/>
  <c r="B134" i="28"/>
  <c r="B129" i="28"/>
  <c r="B135" i="28"/>
  <c r="B139" i="28"/>
  <c r="B128" i="28"/>
  <c r="B138" i="28"/>
  <c r="B137" i="28"/>
  <c r="B125" i="28"/>
  <c r="B132" i="28"/>
  <c r="B141" i="28"/>
  <c r="B124" i="28"/>
  <c r="B127" i="28"/>
  <c r="B43" i="28"/>
  <c r="B140" i="28"/>
  <c r="B143" i="28"/>
  <c r="B229" i="28"/>
  <c r="B219" i="28"/>
  <c r="B222" i="28"/>
  <c r="B260" i="28"/>
  <c r="B261" i="28"/>
  <c r="B256" i="28"/>
  <c r="B247" i="28"/>
  <c r="B48" i="28"/>
  <c r="B259" i="28"/>
  <c r="B246" i="28"/>
  <c r="B248" i="28"/>
  <c r="B249" i="28"/>
  <c r="B253" i="28"/>
  <c r="B243" i="28"/>
  <c r="B252" i="28"/>
  <c r="B244" i="28"/>
  <c r="B254" i="28"/>
  <c r="B263" i="28"/>
  <c r="B250" i="28"/>
  <c r="B258" i="28"/>
  <c r="B262" i="28"/>
  <c r="B245" i="28"/>
  <c r="B257" i="28"/>
  <c r="B255" i="28"/>
  <c r="B251" i="28"/>
  <c r="B311" i="28"/>
  <c r="B299" i="28"/>
  <c r="B302" i="28"/>
  <c r="B308" i="28"/>
  <c r="B305" i="28"/>
  <c r="B309" i="28"/>
  <c r="B301" i="28"/>
  <c r="B293" i="28"/>
  <c r="B294" i="28"/>
  <c r="B50" i="28"/>
  <c r="B297" i="28"/>
  <c r="B310" i="28"/>
  <c r="B306" i="28"/>
  <c r="B291" i="28"/>
  <c r="B296" i="28"/>
  <c r="B300" i="28"/>
  <c r="B295" i="28"/>
  <c r="B298" i="28"/>
  <c r="B307" i="28"/>
  <c r="B292" i="28"/>
  <c r="B304" i="28"/>
  <c r="B303" i="28"/>
  <c r="B356" i="28"/>
  <c r="B343" i="28"/>
  <c r="B340" i="28"/>
  <c r="B354" i="28"/>
  <c r="B357" i="28"/>
  <c r="B326" i="28"/>
  <c r="B319" i="28"/>
  <c r="B321" i="28"/>
  <c r="B331" i="28"/>
  <c r="B325" i="28"/>
  <c r="B329" i="28"/>
  <c r="B316" i="28"/>
  <c r="B333" i="28"/>
  <c r="B334" i="28"/>
  <c r="B324" i="28"/>
  <c r="B322" i="28"/>
  <c r="B332" i="28"/>
  <c r="B323" i="28"/>
  <c r="B330" i="28"/>
  <c r="B335" i="28"/>
  <c r="B315" i="28"/>
  <c r="B327" i="28"/>
  <c r="B320" i="28"/>
  <c r="B328" i="28"/>
  <c r="B175" i="28"/>
  <c r="B178" i="28"/>
  <c r="B179" i="28"/>
  <c r="B181" i="28"/>
  <c r="B182" i="28"/>
  <c r="B171" i="28"/>
  <c r="B184" i="28"/>
  <c r="B180" i="28"/>
  <c r="B174" i="28"/>
  <c r="B189" i="28"/>
  <c r="B173" i="28"/>
  <c r="B172" i="28"/>
  <c r="B183" i="28"/>
  <c r="B188" i="28"/>
  <c r="B185" i="28"/>
  <c r="B186" i="28"/>
  <c r="B45" i="28"/>
  <c r="B187" i="28"/>
  <c r="B190" i="28"/>
  <c r="B176" i="28"/>
  <c r="B191" i="28"/>
  <c r="B177" i="28"/>
  <c r="E11" i="1"/>
  <c r="D14" i="28"/>
  <c r="D18" i="28"/>
  <c r="B12" i="1"/>
  <c r="B14" i="1" l="1"/>
  <c r="F23" i="1" s="1"/>
  <c r="G23" i="1" s="1"/>
  <c r="H23" i="1" s="1"/>
  <c r="A24" i="2114"/>
  <c r="A22" i="2120" s="1"/>
  <c r="B26" i="2117"/>
  <c r="A20" i="2120"/>
  <c r="C22" i="2114"/>
  <c r="C20" i="2120" s="1"/>
  <c r="B22" i="2114"/>
  <c r="B20" i="2120" s="1"/>
  <c r="D20" i="2120"/>
  <c r="E22" i="2114"/>
  <c r="E20" i="2120" s="1"/>
  <c r="H85" i="1"/>
  <c r="C52" i="1"/>
  <c r="D52" i="1" s="1"/>
  <c r="K52" i="1" s="1"/>
  <c r="H38" i="1"/>
  <c r="H68" i="1"/>
  <c r="C68" i="1"/>
  <c r="D68" i="1" s="1"/>
  <c r="K68" i="1" s="1"/>
  <c r="F52" i="1"/>
  <c r="C85" i="1"/>
  <c r="D85" i="1" s="1"/>
  <c r="K85" i="1" s="1"/>
  <c r="N48" i="28"/>
  <c r="I3" i="28"/>
  <c r="J3" i="28" s="1"/>
  <c r="K3" i="28" s="1"/>
  <c r="L3" i="28" s="1"/>
  <c r="M3" i="28" s="1"/>
  <c r="N3" i="28" s="1"/>
  <c r="O3" i="28" s="1"/>
  <c r="P3" i="28" s="1"/>
  <c r="Q3" i="28" s="1"/>
  <c r="R3" i="28" s="1"/>
  <c r="S3" i="28" s="1"/>
  <c r="T3" i="28" s="1"/>
  <c r="U3" i="28" s="1"/>
  <c r="V3" i="28" s="1"/>
  <c r="W3" i="28" s="1"/>
  <c r="X3" i="28" s="1"/>
  <c r="Y3" i="28" s="1"/>
  <c r="Z3" i="28" s="1"/>
  <c r="AA3" i="28" s="1"/>
  <c r="E12" i="1"/>
  <c r="C2" i="2107"/>
  <c r="B1" i="28"/>
  <c r="B23" i="28"/>
  <c r="H14" i="28"/>
  <c r="I14" i="28" s="1"/>
  <c r="D19" i="28"/>
  <c r="D15" i="28"/>
  <c r="B16" i="1"/>
  <c r="B15" i="1" s="1"/>
  <c r="B17" i="28"/>
  <c r="H11" i="28" s="1"/>
  <c r="I11" i="28" s="1"/>
  <c r="J11" i="28" s="1"/>
  <c r="K11" i="28" s="1"/>
  <c r="L11" i="28" s="1"/>
  <c r="M11" i="28" s="1"/>
  <c r="N11" i="28" s="1"/>
  <c r="O11" i="28" s="1"/>
  <c r="P11" i="28" s="1"/>
  <c r="Q11" i="28" s="1"/>
  <c r="R11" i="28" s="1"/>
  <c r="S11" i="28" s="1"/>
  <c r="T11" i="28" s="1"/>
  <c r="U11" i="28" s="1"/>
  <c r="V11" i="28" s="1"/>
  <c r="W11" i="28" s="1"/>
  <c r="X11" i="28" s="1"/>
  <c r="Y11" i="28" s="1"/>
  <c r="Z11" i="28" s="1"/>
  <c r="AA11" i="28" s="1"/>
  <c r="I69" i="28"/>
  <c r="I68" i="28"/>
  <c r="I67" i="28"/>
  <c r="I66" i="28"/>
  <c r="S17" i="28"/>
  <c r="T17" i="28"/>
  <c r="X17" i="28"/>
  <c r="W17" i="28"/>
  <c r="K17" i="28"/>
  <c r="P17" i="28"/>
  <c r="Q17" i="28"/>
  <c r="V17" i="28"/>
  <c r="Z17" i="28"/>
  <c r="N17" i="28"/>
  <c r="L17" i="28"/>
  <c r="R17" i="28"/>
  <c r="M17" i="28"/>
  <c r="I17" i="28"/>
  <c r="Y17" i="28"/>
  <c r="AA17" i="28"/>
  <c r="O17" i="28"/>
  <c r="H17" i="28"/>
  <c r="J17" i="28"/>
  <c r="U17" i="28"/>
  <c r="F273" i="28"/>
  <c r="G108" i="28"/>
  <c r="K122" i="28" s="1"/>
  <c r="K147" i="28" s="1"/>
  <c r="G318" i="28"/>
  <c r="F282" i="28"/>
  <c r="F349" i="28"/>
  <c r="F106" i="28"/>
  <c r="G244" i="28"/>
  <c r="G297" i="28"/>
  <c r="G209" i="28"/>
  <c r="F119" i="28"/>
  <c r="G346" i="28"/>
  <c r="G147" i="28"/>
  <c r="F172" i="28"/>
  <c r="G117" i="28"/>
  <c r="K131" i="28" s="1"/>
  <c r="K156" i="28" s="1"/>
  <c r="G326" i="28"/>
  <c r="F173" i="28"/>
  <c r="G323" i="28"/>
  <c r="F357" i="28"/>
  <c r="G263" i="28"/>
  <c r="G124" i="28"/>
  <c r="F111" i="28"/>
  <c r="E47" i="28"/>
  <c r="F182" i="28"/>
  <c r="G224" i="28"/>
  <c r="G150" i="28"/>
  <c r="G155" i="28"/>
  <c r="G273" i="28"/>
  <c r="G219" i="28"/>
  <c r="G115" i="28"/>
  <c r="K129" i="28" s="1"/>
  <c r="K154" i="28" s="1"/>
  <c r="F165" i="28"/>
  <c r="G300" i="28"/>
  <c r="G356" i="28"/>
  <c r="G279" i="28"/>
  <c r="G320" i="28"/>
  <c r="F358" i="28"/>
  <c r="F105" i="28"/>
  <c r="G189" i="28"/>
  <c r="G166" i="28"/>
  <c r="G358" i="28"/>
  <c r="F283" i="28"/>
  <c r="F260" i="28"/>
  <c r="G104" i="28"/>
  <c r="K118" i="28" s="1"/>
  <c r="K143" i="28" s="1"/>
  <c r="F102" i="28"/>
  <c r="F333" i="28"/>
  <c r="F114" i="28"/>
  <c r="G257" i="28"/>
  <c r="F300" i="28"/>
  <c r="F293" i="28"/>
  <c r="G200" i="28"/>
  <c r="G232" i="28"/>
  <c r="F271" i="28"/>
  <c r="G167" i="28"/>
  <c r="F352" i="28"/>
  <c r="F142" i="28"/>
  <c r="G339" i="28"/>
  <c r="G125" i="28"/>
  <c r="F178" i="28"/>
  <c r="G188" i="28"/>
  <c r="G208" i="28"/>
  <c r="G357" i="28"/>
  <c r="F347" i="28"/>
  <c r="F147" i="28"/>
  <c r="G131" i="28"/>
  <c r="G116" i="28"/>
  <c r="K130" i="28" s="1"/>
  <c r="K155" i="28" s="1"/>
  <c r="G307" i="28"/>
  <c r="G332" i="28"/>
  <c r="G214" i="28"/>
  <c r="G281" i="28"/>
  <c r="F171" i="28"/>
  <c r="G227" i="28"/>
  <c r="F196" i="28"/>
  <c r="G353" i="28"/>
  <c r="G334" i="28"/>
  <c r="G269" i="28"/>
  <c r="F250" i="28"/>
  <c r="G278" i="28"/>
  <c r="G301" i="28"/>
  <c r="F110" i="28"/>
  <c r="G162" i="28"/>
  <c r="G315" i="28"/>
  <c r="G119" i="28"/>
  <c r="K133" i="28" s="1"/>
  <c r="K158" i="28" s="1"/>
  <c r="B8" i="2114" s="1"/>
  <c r="B6" i="2120" s="1"/>
  <c r="G207" i="28"/>
  <c r="G352" i="28"/>
  <c r="F247" i="28"/>
  <c r="G133" i="28"/>
  <c r="E44" i="28"/>
  <c r="F179" i="28"/>
  <c r="F261" i="28"/>
  <c r="G262" i="28"/>
  <c r="G324" i="28"/>
  <c r="G201" i="28"/>
  <c r="G177" i="28"/>
  <c r="G142" i="28"/>
  <c r="F103" i="28"/>
  <c r="F280" i="28"/>
  <c r="G159" i="28"/>
  <c r="G250" i="28"/>
  <c r="G322" i="28"/>
  <c r="G106" i="28"/>
  <c r="K120" i="28" s="1"/>
  <c r="K145" i="28" s="1"/>
  <c r="G271" i="28"/>
  <c r="F359" i="28"/>
  <c r="F305" i="28"/>
  <c r="F297" i="28"/>
  <c r="F303" i="28"/>
  <c r="F206" i="28"/>
  <c r="F244" i="28"/>
  <c r="F204" i="28"/>
  <c r="F127" i="28"/>
  <c r="F118" i="28"/>
  <c r="G151" i="28"/>
  <c r="E45" i="28"/>
  <c r="G299" i="28"/>
  <c r="F239" i="28"/>
  <c r="G246" i="28"/>
  <c r="G285" i="28"/>
  <c r="D21" i="28"/>
  <c r="G137" i="28"/>
  <c r="F176" i="28"/>
  <c r="G148" i="28"/>
  <c r="G317" i="28"/>
  <c r="G239" i="28"/>
  <c r="G283" i="28"/>
  <c r="G268" i="28"/>
  <c r="G138" i="28"/>
  <c r="F279" i="28"/>
  <c r="G308" i="28"/>
  <c r="G114" i="28"/>
  <c r="K128" i="28" s="1"/>
  <c r="K153" i="28" s="1"/>
  <c r="F258" i="28"/>
  <c r="G111" i="28"/>
  <c r="K125" i="28" s="1"/>
  <c r="K150" i="28" s="1"/>
  <c r="F175" i="28"/>
  <c r="G198" i="28"/>
  <c r="G328" i="28"/>
  <c r="G118" i="28"/>
  <c r="K132" i="28" s="1"/>
  <c r="K157" i="28" s="1"/>
  <c r="F292" i="28"/>
  <c r="G350" i="28"/>
  <c r="G349" i="28"/>
  <c r="F311" i="28"/>
  <c r="F152" i="28"/>
  <c r="F126" i="28"/>
  <c r="G221" i="28"/>
  <c r="G215" i="28"/>
  <c r="F315" i="28"/>
  <c r="F108" i="28"/>
  <c r="F183" i="28"/>
  <c r="F343" i="28"/>
  <c r="F321" i="28"/>
  <c r="F198" i="28"/>
  <c r="F139" i="28"/>
  <c r="F161" i="28"/>
  <c r="E52" i="28"/>
  <c r="F133" i="28"/>
  <c r="G236" i="28"/>
  <c r="F228" i="28"/>
  <c r="G134" i="28"/>
  <c r="F177" i="28"/>
  <c r="F238" i="28"/>
  <c r="G212" i="28"/>
  <c r="F116" i="28"/>
  <c r="F124" i="28"/>
  <c r="F138" i="28"/>
  <c r="F319" i="28"/>
  <c r="G243" i="28"/>
  <c r="F275" i="28"/>
  <c r="G112" i="28"/>
  <c r="K126" i="28" s="1"/>
  <c r="K151" i="28" s="1"/>
  <c r="G274" i="28"/>
  <c r="G228" i="28"/>
  <c r="G234" i="28"/>
  <c r="G199" i="28"/>
  <c r="F107" i="28"/>
  <c r="G302" i="28"/>
  <c r="F226" i="28"/>
  <c r="F136" i="28"/>
  <c r="F278" i="28"/>
  <c r="G161" i="28"/>
  <c r="G190" i="28"/>
  <c r="G248" i="28"/>
  <c r="G210" i="28"/>
  <c r="G298" i="28"/>
  <c r="F356" i="28"/>
  <c r="F186" i="28"/>
  <c r="G292" i="28"/>
  <c r="F151" i="28"/>
  <c r="G182" i="28"/>
  <c r="G286" i="28"/>
  <c r="G311" i="28"/>
  <c r="F317" i="28"/>
  <c r="G181" i="28"/>
  <c r="F215" i="28"/>
  <c r="G157" i="28"/>
  <c r="G231" i="28"/>
  <c r="G100" i="28"/>
  <c r="K114" i="28" s="1"/>
  <c r="K139" i="28" s="1"/>
  <c r="G126" i="28"/>
  <c r="G233" i="28"/>
  <c r="F354" i="28"/>
  <c r="F316" i="28"/>
  <c r="G345" i="28"/>
  <c r="G139" i="28"/>
  <c r="G128" i="28"/>
  <c r="G294" i="28"/>
  <c r="F101" i="28"/>
  <c r="G185" i="28"/>
  <c r="F128" i="28"/>
  <c r="F181" i="28"/>
  <c r="F235" i="28"/>
  <c r="F221" i="28"/>
  <c r="F143" i="28"/>
  <c r="G341" i="28"/>
  <c r="F322" i="28"/>
  <c r="G354" i="28"/>
  <c r="F301" i="28"/>
  <c r="F342" i="28"/>
  <c r="F167" i="28"/>
  <c r="F323" i="28"/>
  <c r="G340" i="28"/>
  <c r="G229" i="28"/>
  <c r="G347" i="28"/>
  <c r="G282" i="28"/>
  <c r="F184" i="28"/>
  <c r="F296" i="28"/>
  <c r="G165" i="28"/>
  <c r="F149" i="28"/>
  <c r="F123" i="28"/>
  <c r="G331" i="28"/>
  <c r="F249" i="28"/>
  <c r="G107" i="28"/>
  <c r="K121" i="28" s="1"/>
  <c r="K146" i="28" s="1"/>
  <c r="G280" i="28"/>
  <c r="G235" i="28"/>
  <c r="G136" i="28"/>
  <c r="G225" i="28"/>
  <c r="G141" i="28"/>
  <c r="G310" i="28"/>
  <c r="F254" i="28"/>
  <c r="F294" i="28"/>
  <c r="G113" i="28"/>
  <c r="K127" i="28" s="1"/>
  <c r="K152" i="28" s="1"/>
  <c r="G355" i="28"/>
  <c r="F329" i="28"/>
  <c r="F308" i="28"/>
  <c r="G256" i="28"/>
  <c r="G180" i="28"/>
  <c r="D23" i="28"/>
  <c r="F163" i="28"/>
  <c r="F353" i="28"/>
  <c r="F148" i="28"/>
  <c r="G252" i="28"/>
  <c r="G291" i="28"/>
  <c r="G305" i="28"/>
  <c r="F157" i="28"/>
  <c r="F223" i="28"/>
  <c r="G160" i="28"/>
  <c r="G254" i="28"/>
  <c r="F224" i="28"/>
  <c r="F154" i="28"/>
  <c r="F263" i="28"/>
  <c r="F131" i="28"/>
  <c r="F141" i="28"/>
  <c r="F162" i="28"/>
  <c r="F287" i="28"/>
  <c r="D22" i="28"/>
  <c r="G319" i="28"/>
  <c r="F160" i="28"/>
  <c r="E51" i="28"/>
  <c r="G156" i="28"/>
  <c r="G110" i="28"/>
  <c r="K124" i="28" s="1"/>
  <c r="K149" i="28" s="1"/>
  <c r="F180" i="28"/>
  <c r="F339" i="28"/>
  <c r="G230" i="28"/>
  <c r="G351" i="28"/>
  <c r="F219" i="28"/>
  <c r="G284" i="28"/>
  <c r="F285" i="28"/>
  <c r="F299" i="28"/>
  <c r="F153" i="28"/>
  <c r="G195" i="28"/>
  <c r="F125" i="28"/>
  <c r="E46" i="28"/>
  <c r="F99" i="28"/>
  <c r="F327" i="28"/>
  <c r="G255" i="28"/>
  <c r="F304" i="28"/>
  <c r="F246" i="28"/>
  <c r="F248" i="28"/>
  <c r="F197" i="28"/>
  <c r="F346" i="28"/>
  <c r="G325" i="28"/>
  <c r="F345" i="28"/>
  <c r="F252" i="28"/>
  <c r="F255" i="28"/>
  <c r="G251" i="28"/>
  <c r="G99" i="28"/>
  <c r="K113" i="28" s="1"/>
  <c r="K138" i="28" s="1"/>
  <c r="G223" i="28"/>
  <c r="F191" i="28"/>
  <c r="G123" i="28"/>
  <c r="F276" i="28"/>
  <c r="F201" i="28"/>
  <c r="G304" i="28"/>
  <c r="G272" i="28"/>
  <c r="G149" i="28"/>
  <c r="F185" i="28"/>
  <c r="G204" i="28"/>
  <c r="G213" i="28"/>
  <c r="F190" i="28"/>
  <c r="G176" i="28"/>
  <c r="G296" i="28"/>
  <c r="F135" i="28"/>
  <c r="F231" i="28"/>
  <c r="G183" i="28"/>
  <c r="F109" i="28"/>
  <c r="F335" i="28"/>
  <c r="F212" i="28"/>
  <c r="F295" i="28"/>
  <c r="F340" i="28"/>
  <c r="F332" i="28"/>
  <c r="F156" i="28"/>
  <c r="F320" i="28"/>
  <c r="F134" i="28"/>
  <c r="F341" i="28"/>
  <c r="F164" i="28"/>
  <c r="G295" i="28"/>
  <c r="F309" i="28"/>
  <c r="F208" i="28"/>
  <c r="E49" i="28"/>
  <c r="G327" i="28"/>
  <c r="F187" i="28"/>
  <c r="G316" i="28"/>
  <c r="F166" i="28"/>
  <c r="F230" i="28"/>
  <c r="G179" i="28"/>
  <c r="F130" i="28"/>
  <c r="G220" i="28"/>
  <c r="F307" i="28"/>
  <c r="G238" i="28"/>
  <c r="F214" i="28"/>
  <c r="G253" i="28"/>
  <c r="F211" i="28"/>
  <c r="F129" i="28"/>
  <c r="G245" i="28"/>
  <c r="G267" i="28"/>
  <c r="G184" i="28"/>
  <c r="G172" i="28"/>
  <c r="E43" i="28"/>
  <c r="G287" i="28"/>
  <c r="F159" i="28"/>
  <c r="G187" i="28"/>
  <c r="F281" i="28"/>
  <c r="G211" i="28"/>
  <c r="G127" i="28"/>
  <c r="G202" i="28"/>
  <c r="F232" i="28"/>
  <c r="F233" i="28"/>
  <c r="F277" i="28"/>
  <c r="F220" i="28"/>
  <c r="G330" i="28"/>
  <c r="F100" i="28"/>
  <c r="G343" i="28"/>
  <c r="F268" i="28"/>
  <c r="G143" i="28"/>
  <c r="G129" i="28"/>
  <c r="F237" i="28"/>
  <c r="G163" i="28"/>
  <c r="G259" i="28"/>
  <c r="G171" i="28"/>
  <c r="F324" i="28"/>
  <c r="F355" i="28"/>
  <c r="F209" i="28"/>
  <c r="F310" i="28"/>
  <c r="F132" i="28"/>
  <c r="F253" i="28"/>
  <c r="F334" i="28"/>
  <c r="F202" i="28"/>
  <c r="G191" i="28"/>
  <c r="G158" i="28"/>
  <c r="F350" i="28"/>
  <c r="G258" i="28"/>
  <c r="F113" i="28"/>
  <c r="F267" i="28"/>
  <c r="G348" i="28"/>
  <c r="F205" i="28"/>
  <c r="F189" i="28"/>
  <c r="F222" i="28"/>
  <c r="G277" i="28"/>
  <c r="F286" i="28"/>
  <c r="G222" i="28"/>
  <c r="G173" i="28"/>
  <c r="G329" i="28"/>
  <c r="G203" i="28"/>
  <c r="G270" i="28"/>
  <c r="F328" i="28"/>
  <c r="G261" i="28"/>
  <c r="F262" i="28"/>
  <c r="F348" i="28"/>
  <c r="G275" i="28"/>
  <c r="F207" i="28"/>
  <c r="F158" i="28"/>
  <c r="G164" i="28"/>
  <c r="F291" i="28"/>
  <c r="G344" i="28"/>
  <c r="G153" i="28"/>
  <c r="F269" i="28"/>
  <c r="F200" i="28"/>
  <c r="G205" i="28"/>
  <c r="F115" i="28"/>
  <c r="G178" i="28"/>
  <c r="F325" i="28"/>
  <c r="F140" i="28"/>
  <c r="G226" i="28"/>
  <c r="G309" i="28"/>
  <c r="G321" i="28"/>
  <c r="F298" i="28"/>
  <c r="F195" i="28"/>
  <c r="F137" i="28"/>
  <c r="G237" i="28"/>
  <c r="G276" i="28"/>
  <c r="G342" i="28"/>
  <c r="F256" i="28"/>
  <c r="G140" i="28"/>
  <c r="E50" i="28"/>
  <c r="F112" i="28"/>
  <c r="G152" i="28"/>
  <c r="F225" i="28"/>
  <c r="G303" i="28"/>
  <c r="F330" i="28"/>
  <c r="F302" i="28"/>
  <c r="G206" i="28"/>
  <c r="E42" i="28"/>
  <c r="F257" i="28"/>
  <c r="F199" i="28"/>
  <c r="F210" i="28"/>
  <c r="G109" i="28"/>
  <c r="K123" i="28" s="1"/>
  <c r="K148" i="28" s="1"/>
  <c r="F270" i="28"/>
  <c r="F318" i="28"/>
  <c r="G102" i="28"/>
  <c r="K116" i="28" s="1"/>
  <c r="K141" i="28" s="1"/>
  <c r="G293" i="28"/>
  <c r="G105" i="28"/>
  <c r="K119" i="28" s="1"/>
  <c r="K144" i="28" s="1"/>
  <c r="G130" i="28"/>
  <c r="F174" i="28"/>
  <c r="F188" i="28"/>
  <c r="G197" i="28"/>
  <c r="G186" i="28"/>
  <c r="F251" i="28"/>
  <c r="G101" i="28"/>
  <c r="K115" i="28" s="1"/>
  <c r="K140" i="28" s="1"/>
  <c r="F236" i="28"/>
  <c r="F213" i="28"/>
  <c r="G174" i="28"/>
  <c r="F104" i="28"/>
  <c r="G175" i="28"/>
  <c r="G359" i="28"/>
  <c r="G260" i="28"/>
  <c r="E48" i="28"/>
  <c r="G333" i="28"/>
  <c r="F203" i="28"/>
  <c r="F243" i="28"/>
  <c r="G154" i="28"/>
  <c r="F227" i="28"/>
  <c r="F229" i="28"/>
  <c r="F351" i="28"/>
  <c r="F306" i="28"/>
  <c r="G249" i="28"/>
  <c r="F284" i="28"/>
  <c r="F326" i="28"/>
  <c r="F274" i="28"/>
  <c r="G103" i="28"/>
  <c r="K117" i="28" s="1"/>
  <c r="K142" i="28" s="1"/>
  <c r="F234" i="28"/>
  <c r="G196" i="28"/>
  <c r="G335" i="28"/>
  <c r="F272" i="28"/>
  <c r="G132" i="28"/>
  <c r="F331" i="28"/>
  <c r="F150" i="28"/>
  <c r="F259" i="28"/>
  <c r="F155" i="28"/>
  <c r="F344" i="28"/>
  <c r="F245" i="28"/>
  <c r="G247" i="28"/>
  <c r="G306" i="28"/>
  <c r="G135" i="28"/>
  <c r="F117" i="28"/>
  <c r="C47" i="1" l="1"/>
  <c r="D47" i="1" s="1"/>
  <c r="K47" i="1" s="1"/>
  <c r="F29" i="1"/>
  <c r="G29" i="1" s="1"/>
  <c r="H29" i="1" s="1"/>
  <c r="C75" i="1"/>
  <c r="D75" i="1" s="1"/>
  <c r="K75" i="1" s="1"/>
  <c r="C48" i="1"/>
  <c r="D48" i="1" s="1"/>
  <c r="K48" i="1" s="1"/>
  <c r="C77" i="1"/>
  <c r="D77" i="1" s="1"/>
  <c r="K77" i="1" s="1"/>
  <c r="C67" i="1"/>
  <c r="D67" i="1" s="1"/>
  <c r="K67" i="1" s="1"/>
  <c r="C25" i="1"/>
  <c r="D25" i="1" s="1"/>
  <c r="K25" i="1" s="1"/>
  <c r="C44" i="1"/>
  <c r="D44" i="1" s="1"/>
  <c r="K44" i="1" s="1"/>
  <c r="C73" i="1"/>
  <c r="D73" i="1" s="1"/>
  <c r="K73" i="1" s="1"/>
  <c r="F28" i="1"/>
  <c r="G28" i="1" s="1"/>
  <c r="H28" i="1" s="1"/>
  <c r="C27" i="1"/>
  <c r="D27" i="1" s="1"/>
  <c r="K27" i="1" s="1"/>
  <c r="C28" i="1"/>
  <c r="D28" i="1" s="1"/>
  <c r="K28" i="1" s="1"/>
  <c r="C49" i="1"/>
  <c r="D49" i="1" s="1"/>
  <c r="K49" i="1" s="1"/>
  <c r="F48" i="1"/>
  <c r="G48" i="1" s="1"/>
  <c r="H48" i="1" s="1"/>
  <c r="J48" i="1" s="1"/>
  <c r="C33" i="1"/>
  <c r="D33" i="1" s="1"/>
  <c r="K33" i="1" s="1"/>
  <c r="C58" i="1"/>
  <c r="D58" i="1" s="1"/>
  <c r="K58" i="1" s="1"/>
  <c r="C59" i="1"/>
  <c r="D59" i="1" s="1"/>
  <c r="K59" i="1" s="1"/>
  <c r="C45" i="1"/>
  <c r="D45" i="1" s="1"/>
  <c r="K45" i="1" s="1"/>
  <c r="F35" i="1"/>
  <c r="G35" i="1" s="1"/>
  <c r="H35" i="1" s="1"/>
  <c r="I35" i="1" s="1"/>
  <c r="F32" i="1"/>
  <c r="G32" i="1" s="1"/>
  <c r="H32" i="1" s="1"/>
  <c r="J32" i="1" s="1"/>
  <c r="C57" i="1"/>
  <c r="D57" i="1" s="1"/>
  <c r="K57" i="1" s="1"/>
  <c r="C83" i="1"/>
  <c r="D83" i="1" s="1"/>
  <c r="K83" i="1" s="1"/>
  <c r="C64" i="1"/>
  <c r="D64" i="1" s="1"/>
  <c r="K64" i="1" s="1"/>
  <c r="C63" i="1"/>
  <c r="D63" i="1" s="1"/>
  <c r="K63" i="1" s="1"/>
  <c r="F31" i="1"/>
  <c r="G31" i="1" s="1"/>
  <c r="H31" i="1" s="1"/>
  <c r="I31" i="1" s="1"/>
  <c r="C65" i="1"/>
  <c r="D65" i="1" s="1"/>
  <c r="K65" i="1" s="1"/>
  <c r="C50" i="1"/>
  <c r="D50" i="1" s="1"/>
  <c r="K50" i="1" s="1"/>
  <c r="F26" i="1"/>
  <c r="G26" i="1" s="1"/>
  <c r="H26" i="1" s="1"/>
  <c r="J26" i="1" s="1"/>
  <c r="C34" i="1"/>
  <c r="D34" i="1" s="1"/>
  <c r="K34" i="1" s="1"/>
  <c r="C62" i="1"/>
  <c r="D62" i="1" s="1"/>
  <c r="K62" i="1" s="1"/>
  <c r="C46" i="1"/>
  <c r="D46" i="1" s="1"/>
  <c r="K46" i="1" s="1"/>
  <c r="C81" i="1"/>
  <c r="D81" i="1" s="1"/>
  <c r="K81" i="1" s="1"/>
  <c r="F50" i="1"/>
  <c r="G50" i="1" s="1"/>
  <c r="H50" i="1" s="1"/>
  <c r="C36" i="1"/>
  <c r="D36" i="1" s="1"/>
  <c r="K36" i="1" s="1"/>
  <c r="C23" i="1"/>
  <c r="D23" i="1" s="1"/>
  <c r="K23" i="1" s="1"/>
  <c r="C29" i="1"/>
  <c r="D29" i="1" s="1"/>
  <c r="K29" i="1" s="1"/>
  <c r="C51" i="1"/>
  <c r="D51" i="1" s="1"/>
  <c r="K51" i="1" s="1"/>
  <c r="F34" i="1"/>
  <c r="G34" i="1" s="1"/>
  <c r="H34" i="1" s="1"/>
  <c r="J34" i="1" s="1"/>
  <c r="F37" i="1"/>
  <c r="G37" i="1" s="1"/>
  <c r="H37" i="1" s="1"/>
  <c r="I37" i="1" s="1"/>
  <c r="F51" i="1"/>
  <c r="G51" i="1" s="1"/>
  <c r="H51" i="1" s="1"/>
  <c r="I51" i="1" s="1"/>
  <c r="C61" i="1"/>
  <c r="D61" i="1" s="1"/>
  <c r="K61" i="1" s="1"/>
  <c r="F22" i="1"/>
  <c r="G22" i="1" s="1"/>
  <c r="H22" i="1" s="1"/>
  <c r="I22" i="1" s="1"/>
  <c r="F24" i="1"/>
  <c r="G24" i="1" s="1"/>
  <c r="H24" i="1" s="1"/>
  <c r="J24" i="1" s="1"/>
  <c r="F36" i="1"/>
  <c r="G36" i="1" s="1"/>
  <c r="H36" i="1" s="1"/>
  <c r="I36" i="1" s="1"/>
  <c r="C37" i="1"/>
  <c r="D37" i="1" s="1"/>
  <c r="K37" i="1" s="1"/>
  <c r="F27" i="1"/>
  <c r="G27" i="1" s="1"/>
  <c r="H27" i="1" s="1"/>
  <c r="J27" i="1" s="1"/>
  <c r="C43" i="1"/>
  <c r="D43" i="1" s="1"/>
  <c r="K43" i="1" s="1"/>
  <c r="C35" i="1"/>
  <c r="D35" i="1" s="1"/>
  <c r="K35" i="1" s="1"/>
  <c r="C24" i="1"/>
  <c r="D24" i="1" s="1"/>
  <c r="K24" i="1" s="1"/>
  <c r="C32" i="1"/>
  <c r="D32" i="1" s="1"/>
  <c r="K32" i="1" s="1"/>
  <c r="C79" i="1"/>
  <c r="D79" i="1" s="1"/>
  <c r="K79" i="1" s="1"/>
  <c r="F47" i="1"/>
  <c r="G47" i="1" s="1"/>
  <c r="H47" i="1" s="1"/>
  <c r="C66" i="1"/>
  <c r="D66" i="1" s="1"/>
  <c r="K66" i="1" s="1"/>
  <c r="F30" i="1"/>
  <c r="G30" i="1" s="1"/>
  <c r="H30" i="1" s="1"/>
  <c r="C26" i="1"/>
  <c r="D26" i="1" s="1"/>
  <c r="K26" i="1" s="1"/>
  <c r="F45" i="1"/>
  <c r="G45" i="1" s="1"/>
  <c r="H45" i="1" s="1"/>
  <c r="I45" i="1" s="1"/>
  <c r="F25" i="1"/>
  <c r="G25" i="1" s="1"/>
  <c r="H25" i="1" s="1"/>
  <c r="F46" i="1"/>
  <c r="G46" i="1" s="1"/>
  <c r="H46" i="1" s="1"/>
  <c r="I46" i="1" s="1"/>
  <c r="C22" i="1"/>
  <c r="D22" i="1" s="1"/>
  <c r="K22" i="1" s="1"/>
  <c r="C30" i="1"/>
  <c r="D30" i="1" s="1"/>
  <c r="K30" i="1" s="1"/>
  <c r="C31" i="1"/>
  <c r="D31" i="1" s="1"/>
  <c r="K31" i="1" s="1"/>
  <c r="F49" i="1"/>
  <c r="G49" i="1" s="1"/>
  <c r="H49" i="1" s="1"/>
  <c r="J49" i="1" s="1"/>
  <c r="C60" i="1"/>
  <c r="D60" i="1" s="1"/>
  <c r="K60" i="1" s="1"/>
  <c r="F44" i="1"/>
  <c r="G44" i="1" s="1"/>
  <c r="H44" i="1" s="1"/>
  <c r="I44" i="1" s="1"/>
  <c r="F33" i="1"/>
  <c r="G33" i="1" s="1"/>
  <c r="H33" i="1" s="1"/>
  <c r="J33" i="1" s="1"/>
  <c r="H186" i="28"/>
  <c r="N177" i="28" s="1"/>
  <c r="N128" i="28"/>
  <c r="N153" i="28" s="1"/>
  <c r="H252" i="28"/>
  <c r="Q171" i="28" s="1"/>
  <c r="Q122" i="28"/>
  <c r="Q147" i="28" s="1"/>
  <c r="H167" i="28"/>
  <c r="M182" i="28" s="1"/>
  <c r="M133" i="28"/>
  <c r="M158" i="28" s="1"/>
  <c r="B10" i="2114" s="1"/>
  <c r="B8" i="2120" s="1"/>
  <c r="H172" i="28"/>
  <c r="N163" i="28" s="1"/>
  <c r="N114" i="28"/>
  <c r="N139" i="28" s="1"/>
  <c r="H184" i="28"/>
  <c r="N175" i="28" s="1"/>
  <c r="N126" i="28"/>
  <c r="N151" i="28" s="1"/>
  <c r="H223" i="28"/>
  <c r="P166" i="28" s="1"/>
  <c r="P117" i="28"/>
  <c r="P142" i="28" s="1"/>
  <c r="H302" i="28"/>
  <c r="S173" i="28" s="1"/>
  <c r="S124" i="28"/>
  <c r="S149" i="28" s="1"/>
  <c r="H283" i="28"/>
  <c r="R178" i="28" s="1"/>
  <c r="R129" i="28"/>
  <c r="R154" i="28" s="1"/>
  <c r="H269" i="28"/>
  <c r="R164" i="28" s="1"/>
  <c r="R115" i="28"/>
  <c r="R140" i="28" s="1"/>
  <c r="H232" i="28"/>
  <c r="P175" i="28" s="1"/>
  <c r="P126" i="28"/>
  <c r="P151" i="28" s="1"/>
  <c r="H259" i="28"/>
  <c r="Q178" i="28" s="1"/>
  <c r="Q129" i="28"/>
  <c r="Q154" i="28" s="1"/>
  <c r="H126" i="28"/>
  <c r="L165" i="28" s="1"/>
  <c r="L116" i="28"/>
  <c r="L141" i="28" s="1"/>
  <c r="H199" i="28"/>
  <c r="O166" i="28" s="1"/>
  <c r="O117" i="28"/>
  <c r="O142" i="28" s="1"/>
  <c r="H159" i="28"/>
  <c r="M174" i="28" s="1"/>
  <c r="M125" i="28"/>
  <c r="M150" i="28" s="1"/>
  <c r="H353" i="28"/>
  <c r="U176" i="28" s="1"/>
  <c r="U127" i="28"/>
  <c r="U152" i="28" s="1"/>
  <c r="H229" i="28"/>
  <c r="P172" i="28" s="1"/>
  <c r="P123" i="28"/>
  <c r="P148" i="28" s="1"/>
  <c r="H157" i="28"/>
  <c r="M172" i="28" s="1"/>
  <c r="M123" i="28"/>
  <c r="M148" i="28" s="1"/>
  <c r="H274" i="28"/>
  <c r="R169" i="28" s="1"/>
  <c r="R120" i="28"/>
  <c r="R145" i="28" s="1"/>
  <c r="H215" i="28"/>
  <c r="O182" i="28" s="1"/>
  <c r="O133" i="28"/>
  <c r="O158" i="28" s="1"/>
  <c r="B12" i="2114" s="1"/>
  <c r="B10" i="2120" s="1"/>
  <c r="H137" i="28"/>
  <c r="L176" i="28" s="1"/>
  <c r="L127" i="28"/>
  <c r="L152" i="28" s="1"/>
  <c r="H142" i="28"/>
  <c r="L181" i="28" s="1"/>
  <c r="L132" i="28"/>
  <c r="L157" i="28" s="1"/>
  <c r="H203" i="28"/>
  <c r="O170" i="28" s="1"/>
  <c r="O121" i="28"/>
  <c r="O146" i="28" s="1"/>
  <c r="H347" i="28"/>
  <c r="U170" i="28" s="1"/>
  <c r="U121" i="28"/>
  <c r="U146" i="28" s="1"/>
  <c r="H222" i="28"/>
  <c r="P165" i="28" s="1"/>
  <c r="P116" i="28"/>
  <c r="P141" i="28" s="1"/>
  <c r="H231" i="28"/>
  <c r="P174" i="28" s="1"/>
  <c r="P125" i="28"/>
  <c r="P150" i="28" s="1"/>
  <c r="H226" i="28"/>
  <c r="P169" i="28" s="1"/>
  <c r="P120" i="28"/>
  <c r="P145" i="28" s="1"/>
  <c r="H154" i="28"/>
  <c r="M169" i="28" s="1"/>
  <c r="M120" i="28"/>
  <c r="M145" i="28" s="1"/>
  <c r="H277" i="28"/>
  <c r="R172" i="28" s="1"/>
  <c r="R123" i="28"/>
  <c r="R148" i="28" s="1"/>
  <c r="H143" i="28"/>
  <c r="L182" i="28" s="1"/>
  <c r="L133" i="28"/>
  <c r="L158" i="28" s="1"/>
  <c r="B9" i="2114" s="1"/>
  <c r="B7" i="2120" s="1"/>
  <c r="H325" i="28"/>
  <c r="T172" i="28" s="1"/>
  <c r="T123" i="28"/>
  <c r="T148" i="28" s="1"/>
  <c r="H221" i="28"/>
  <c r="P164" i="28" s="1"/>
  <c r="P115" i="28"/>
  <c r="P140" i="28" s="1"/>
  <c r="H177" i="28"/>
  <c r="N168" i="28" s="1"/>
  <c r="N119" i="28"/>
  <c r="N144" i="28" s="1"/>
  <c r="H281" i="28"/>
  <c r="R176" i="28" s="1"/>
  <c r="R127" i="28"/>
  <c r="R152" i="28" s="1"/>
  <c r="H124" i="28"/>
  <c r="L163" i="28" s="1"/>
  <c r="L114" i="28"/>
  <c r="L139" i="28" s="1"/>
  <c r="H135" i="28"/>
  <c r="L174" i="28" s="1"/>
  <c r="L125" i="28"/>
  <c r="L150" i="28" s="1"/>
  <c r="H238" i="28"/>
  <c r="P181" i="28" s="1"/>
  <c r="P132" i="28"/>
  <c r="P157" i="28" s="1"/>
  <c r="H319" i="28"/>
  <c r="T166" i="28" s="1"/>
  <c r="T117" i="28"/>
  <c r="T142" i="28" s="1"/>
  <c r="H355" i="28"/>
  <c r="U178" i="28" s="1"/>
  <c r="U129" i="28"/>
  <c r="U154" i="28" s="1"/>
  <c r="H181" i="28"/>
  <c r="N172" i="28" s="1"/>
  <c r="N123" i="28"/>
  <c r="N148" i="28" s="1"/>
  <c r="H285" i="28"/>
  <c r="R180" i="28" s="1"/>
  <c r="R131" i="28"/>
  <c r="R156" i="28" s="1"/>
  <c r="H201" i="28"/>
  <c r="O168" i="28" s="1"/>
  <c r="O119" i="28"/>
  <c r="O144" i="28" s="1"/>
  <c r="H214" i="28"/>
  <c r="O181" i="28" s="1"/>
  <c r="O132" i="28"/>
  <c r="O157" i="28" s="1"/>
  <c r="H263" i="28"/>
  <c r="Q182" i="28" s="1"/>
  <c r="Q133" i="28"/>
  <c r="Q158" i="28" s="1"/>
  <c r="B14" i="2114" s="1"/>
  <c r="B12" i="2120" s="1"/>
  <c r="H183" i="28"/>
  <c r="N174" i="28" s="1"/>
  <c r="N125" i="28"/>
  <c r="N150" i="28" s="1"/>
  <c r="H354" i="28"/>
  <c r="U177" i="28" s="1"/>
  <c r="U128" i="28"/>
  <c r="U153" i="28" s="1"/>
  <c r="H311" i="28"/>
  <c r="S182" i="28" s="1"/>
  <c r="S133" i="28"/>
  <c r="S158" i="28" s="1"/>
  <c r="B16" i="2114" s="1"/>
  <c r="B14" i="2120" s="1"/>
  <c r="H262" i="28"/>
  <c r="Q181" i="28" s="1"/>
  <c r="Q132" i="28"/>
  <c r="Q157" i="28" s="1"/>
  <c r="H307" i="28"/>
  <c r="S178" i="28" s="1"/>
  <c r="S129" i="28"/>
  <c r="S154" i="28" s="1"/>
  <c r="H323" i="28"/>
  <c r="T170" i="28" s="1"/>
  <c r="T121" i="28"/>
  <c r="T146" i="28" s="1"/>
  <c r="H278" i="28"/>
  <c r="R173" i="28" s="1"/>
  <c r="R124" i="28"/>
  <c r="R149" i="28" s="1"/>
  <c r="H351" i="28"/>
  <c r="U174" i="28" s="1"/>
  <c r="U125" i="28"/>
  <c r="U150" i="28" s="1"/>
  <c r="H268" i="28"/>
  <c r="R163" i="28" s="1"/>
  <c r="R114" i="28"/>
  <c r="R139" i="28" s="1"/>
  <c r="H155" i="28"/>
  <c r="M170" i="28" s="1"/>
  <c r="M121" i="28"/>
  <c r="M146" i="28" s="1"/>
  <c r="H171" i="28"/>
  <c r="N162" i="28" s="1"/>
  <c r="N113" i="28"/>
  <c r="N138" i="28" s="1"/>
  <c r="H317" i="28"/>
  <c r="T164" i="28" s="1"/>
  <c r="T115" i="28"/>
  <c r="T140" i="28" s="1"/>
  <c r="H309" i="28"/>
  <c r="S180" i="28" s="1"/>
  <c r="S131" i="28"/>
  <c r="S156" i="28" s="1"/>
  <c r="H253" i="28"/>
  <c r="Q172" i="28" s="1"/>
  <c r="Q123" i="28"/>
  <c r="Q148" i="28" s="1"/>
  <c r="H178" i="28"/>
  <c r="N169" i="28" s="1"/>
  <c r="N120" i="28"/>
  <c r="N145" i="28" s="1"/>
  <c r="H343" i="28"/>
  <c r="U166" i="28" s="1"/>
  <c r="U117" i="28"/>
  <c r="U142" i="28" s="1"/>
  <c r="H332" i="28"/>
  <c r="T179" i="28" s="1"/>
  <c r="T130" i="28"/>
  <c r="T155" i="28" s="1"/>
  <c r="H333" i="28"/>
  <c r="T180" i="28" s="1"/>
  <c r="T131" i="28"/>
  <c r="T156" i="28" s="1"/>
  <c r="H205" i="28"/>
  <c r="O172" i="28" s="1"/>
  <c r="O123" i="28"/>
  <c r="O148" i="28" s="1"/>
  <c r="H348" i="28"/>
  <c r="U171" i="28" s="1"/>
  <c r="U122" i="28"/>
  <c r="U147" i="28" s="1"/>
  <c r="H330" i="28"/>
  <c r="T177" i="28" s="1"/>
  <c r="T128" i="28"/>
  <c r="T153" i="28" s="1"/>
  <c r="H286" i="28"/>
  <c r="R181" i="28" s="1"/>
  <c r="R132" i="28"/>
  <c r="R157" i="28" s="1"/>
  <c r="H349" i="28"/>
  <c r="U172" i="28" s="1"/>
  <c r="U123" i="28"/>
  <c r="U148" i="28" s="1"/>
  <c r="H299" i="28"/>
  <c r="S170" i="28" s="1"/>
  <c r="S121" i="28"/>
  <c r="S146" i="28" s="1"/>
  <c r="H287" i="28"/>
  <c r="R182" i="28" s="1"/>
  <c r="R133" i="28"/>
  <c r="R158" i="28" s="1"/>
  <c r="B15" i="2114" s="1"/>
  <c r="B13" i="2120" s="1"/>
  <c r="H271" i="28"/>
  <c r="R166" i="28" s="1"/>
  <c r="R117" i="28"/>
  <c r="R142" i="28" s="1"/>
  <c r="H249" i="28"/>
  <c r="Q168" i="28" s="1"/>
  <c r="Q119" i="28"/>
  <c r="Q144" i="28" s="1"/>
  <c r="H282" i="28"/>
  <c r="R177" i="28" s="1"/>
  <c r="R128" i="28"/>
  <c r="R153" i="28" s="1"/>
  <c r="H293" i="28"/>
  <c r="S164" i="28" s="1"/>
  <c r="S115" i="28"/>
  <c r="S140" i="28" s="1"/>
  <c r="H251" i="28"/>
  <c r="Q170" i="28" s="1"/>
  <c r="Q121" i="28"/>
  <c r="Q146" i="28" s="1"/>
  <c r="H224" i="28"/>
  <c r="P167" i="28" s="1"/>
  <c r="P118" i="28"/>
  <c r="P143" i="28" s="1"/>
  <c r="H260" i="28"/>
  <c r="Q179" i="28" s="1"/>
  <c r="Q130" i="28"/>
  <c r="Q155" i="28" s="1"/>
  <c r="H206" i="28"/>
  <c r="O173" i="28" s="1"/>
  <c r="O124" i="28"/>
  <c r="O149" i="28" s="1"/>
  <c r="H179" i="28"/>
  <c r="N170" i="28" s="1"/>
  <c r="N121" i="28"/>
  <c r="N146" i="28" s="1"/>
  <c r="H296" i="28"/>
  <c r="S167" i="28" s="1"/>
  <c r="S118" i="28"/>
  <c r="S143" i="28" s="1"/>
  <c r="H310" i="28"/>
  <c r="S181" i="28" s="1"/>
  <c r="S132" i="28"/>
  <c r="S157" i="28" s="1"/>
  <c r="H341" i="28"/>
  <c r="U164" i="28" s="1"/>
  <c r="U115" i="28"/>
  <c r="U140" i="28" s="1"/>
  <c r="H182" i="28"/>
  <c r="N173" i="28" s="1"/>
  <c r="N124" i="28"/>
  <c r="N149" i="28" s="1"/>
  <c r="H350" i="28"/>
  <c r="U173" i="28" s="1"/>
  <c r="U124" i="28"/>
  <c r="U149" i="28" s="1"/>
  <c r="H131" i="28"/>
  <c r="L170" i="28" s="1"/>
  <c r="L121" i="28"/>
  <c r="L146" i="28" s="1"/>
  <c r="H358" i="28"/>
  <c r="U181" i="28" s="1"/>
  <c r="U132" i="28"/>
  <c r="U157" i="28" s="1"/>
  <c r="H326" i="28"/>
  <c r="T173" i="28" s="1"/>
  <c r="T124" i="28"/>
  <c r="T149" i="28" s="1"/>
  <c r="H139" i="28"/>
  <c r="L178" i="28" s="1"/>
  <c r="L129" i="28"/>
  <c r="L154" i="28" s="1"/>
  <c r="H270" i="28"/>
  <c r="R165" i="28" s="1"/>
  <c r="R116" i="28"/>
  <c r="R141" i="28" s="1"/>
  <c r="H267" i="28"/>
  <c r="R162" i="28" s="1"/>
  <c r="R113" i="28"/>
  <c r="R138" i="28" s="1"/>
  <c r="H245" i="28"/>
  <c r="Q164" i="28" s="1"/>
  <c r="Q115" i="28"/>
  <c r="Q140" i="28" s="1"/>
  <c r="H129" i="28"/>
  <c r="L168" i="28" s="1"/>
  <c r="L119" i="28"/>
  <c r="L144" i="28" s="1"/>
  <c r="H243" i="28"/>
  <c r="Q162" i="28" s="1"/>
  <c r="Q113" i="28"/>
  <c r="Q138" i="28" s="1"/>
  <c r="H246" i="28"/>
  <c r="Q165" i="28" s="1"/>
  <c r="Q116" i="28"/>
  <c r="Q141" i="28" s="1"/>
  <c r="H324" i="28"/>
  <c r="T171" i="28" s="1"/>
  <c r="T122" i="28"/>
  <c r="T147" i="28" s="1"/>
  <c r="H359" i="28"/>
  <c r="U182" i="28" s="1"/>
  <c r="U133" i="28"/>
  <c r="U158" i="28" s="1"/>
  <c r="B18" i="2114" s="1"/>
  <c r="B16" i="2120" s="1"/>
  <c r="H176" i="28"/>
  <c r="N167" i="28" s="1"/>
  <c r="N118" i="28"/>
  <c r="N143" i="28" s="1"/>
  <c r="H255" i="28"/>
  <c r="Q174" i="28" s="1"/>
  <c r="Q125" i="28"/>
  <c r="Q150" i="28" s="1"/>
  <c r="H141" i="28"/>
  <c r="L180" i="28" s="1"/>
  <c r="L131" i="28"/>
  <c r="L156" i="28" s="1"/>
  <c r="H151" i="28"/>
  <c r="M166" i="28" s="1"/>
  <c r="M117" i="28"/>
  <c r="M142" i="28" s="1"/>
  <c r="H166" i="28"/>
  <c r="M181" i="28" s="1"/>
  <c r="M132" i="28"/>
  <c r="M157" i="28" s="1"/>
  <c r="H250" i="28"/>
  <c r="Q169" i="28" s="1"/>
  <c r="Q120" i="28"/>
  <c r="Q145" i="28" s="1"/>
  <c r="H220" i="28"/>
  <c r="P163" i="28" s="1"/>
  <c r="P114" i="28"/>
  <c r="P139" i="28" s="1"/>
  <c r="H175" i="28"/>
  <c r="N166" i="28" s="1"/>
  <c r="N117" i="28"/>
  <c r="N142" i="28" s="1"/>
  <c r="H153" i="28"/>
  <c r="M168" i="28" s="1"/>
  <c r="M119" i="28"/>
  <c r="M144" i="28" s="1"/>
  <c r="H258" i="28"/>
  <c r="Q177" i="28" s="1"/>
  <c r="Q128" i="28"/>
  <c r="Q153" i="28" s="1"/>
  <c r="H225" i="28"/>
  <c r="P168" i="28" s="1"/>
  <c r="P119" i="28"/>
  <c r="P144" i="28" s="1"/>
  <c r="H292" i="28"/>
  <c r="S163" i="28" s="1"/>
  <c r="S114" i="28"/>
  <c r="S139" i="28" s="1"/>
  <c r="H212" i="28"/>
  <c r="O179" i="28" s="1"/>
  <c r="O130" i="28"/>
  <c r="O155" i="28" s="1"/>
  <c r="H133" i="28"/>
  <c r="L172" i="28" s="1"/>
  <c r="L123" i="28"/>
  <c r="L148" i="28" s="1"/>
  <c r="H189" i="28"/>
  <c r="N180" i="28" s="1"/>
  <c r="N131" i="28"/>
  <c r="N156" i="28" s="1"/>
  <c r="H200" i="28"/>
  <c r="O167" i="28" s="1"/>
  <c r="O118" i="28"/>
  <c r="O143" i="28" s="1"/>
  <c r="H303" i="28"/>
  <c r="S174" i="28" s="1"/>
  <c r="S125" i="28"/>
  <c r="S150" i="28" s="1"/>
  <c r="H316" i="28"/>
  <c r="T163" i="28" s="1"/>
  <c r="T114" i="28"/>
  <c r="T139" i="28" s="1"/>
  <c r="H213" i="28"/>
  <c r="O180" i="28" s="1"/>
  <c r="O131" i="28"/>
  <c r="O156" i="28" s="1"/>
  <c r="H136" i="28"/>
  <c r="L175" i="28" s="1"/>
  <c r="L126" i="28"/>
  <c r="L151" i="28" s="1"/>
  <c r="H328" i="28"/>
  <c r="T175" i="28" s="1"/>
  <c r="T126" i="28"/>
  <c r="T151" i="28" s="1"/>
  <c r="H357" i="28"/>
  <c r="U180" i="28" s="1"/>
  <c r="U131" i="28"/>
  <c r="U156" i="28" s="1"/>
  <c r="H147" i="28"/>
  <c r="M162" i="28" s="1"/>
  <c r="M113" i="28"/>
  <c r="M138" i="28" s="1"/>
  <c r="H301" i="28"/>
  <c r="S172" i="28" s="1"/>
  <c r="S123" i="28"/>
  <c r="S148" i="28" s="1"/>
  <c r="H237" i="28"/>
  <c r="P180" i="28" s="1"/>
  <c r="P131" i="28"/>
  <c r="P156" i="28" s="1"/>
  <c r="H318" i="28"/>
  <c r="T165" i="28" s="1"/>
  <c r="T116" i="28"/>
  <c r="T141" i="28" s="1"/>
  <c r="H230" i="28"/>
  <c r="P173" i="28" s="1"/>
  <c r="P124" i="28"/>
  <c r="P149" i="28" s="1"/>
  <c r="H234" i="28"/>
  <c r="P177" i="28" s="1"/>
  <c r="P128" i="28"/>
  <c r="P153" i="28" s="1"/>
  <c r="H174" i="28"/>
  <c r="N165" i="28" s="1"/>
  <c r="N116" i="28"/>
  <c r="N141" i="28" s="1"/>
  <c r="H158" i="28"/>
  <c r="M173" i="28" s="1"/>
  <c r="M124" i="28"/>
  <c r="M149" i="28" s="1"/>
  <c r="H202" i="28"/>
  <c r="O169" i="28" s="1"/>
  <c r="O120" i="28"/>
  <c r="O145" i="28" s="1"/>
  <c r="H204" i="28"/>
  <c r="O171" i="28" s="1"/>
  <c r="O122" i="28"/>
  <c r="O147" i="28" s="1"/>
  <c r="H235" i="28"/>
  <c r="P178" i="28" s="1"/>
  <c r="P129" i="28"/>
  <c r="P154" i="28" s="1"/>
  <c r="H198" i="28"/>
  <c r="O165" i="28" s="1"/>
  <c r="O116" i="28"/>
  <c r="O141" i="28" s="1"/>
  <c r="H352" i="28"/>
  <c r="U175" i="28" s="1"/>
  <c r="U126" i="28"/>
  <c r="U151" i="28" s="1"/>
  <c r="H208" i="28"/>
  <c r="O175" i="28" s="1"/>
  <c r="O126" i="28"/>
  <c r="O151" i="28" s="1"/>
  <c r="H346" i="28"/>
  <c r="U169" i="28" s="1"/>
  <c r="U120" i="28"/>
  <c r="U145" i="28" s="1"/>
  <c r="H305" i="28"/>
  <c r="S176" i="28" s="1"/>
  <c r="S127" i="28"/>
  <c r="S152" i="28" s="1"/>
  <c r="H308" i="28"/>
  <c r="S179" i="28" s="1"/>
  <c r="S130" i="28"/>
  <c r="S155" i="28" s="1"/>
  <c r="H138" i="28"/>
  <c r="L177" i="28" s="1"/>
  <c r="L128" i="28"/>
  <c r="L153" i="28" s="1"/>
  <c r="H273" i="28"/>
  <c r="R168" i="28" s="1"/>
  <c r="R119" i="28"/>
  <c r="R144" i="28" s="1"/>
  <c r="H306" i="28"/>
  <c r="S177" i="28" s="1"/>
  <c r="S128" i="28"/>
  <c r="S153" i="28" s="1"/>
  <c r="H254" i="28"/>
  <c r="Q173" i="28" s="1"/>
  <c r="Q124" i="28"/>
  <c r="Q149" i="28" s="1"/>
  <c r="H188" i="28"/>
  <c r="N179" i="28" s="1"/>
  <c r="N130" i="28"/>
  <c r="N155" i="28" s="1"/>
  <c r="H320" i="28"/>
  <c r="T167" i="28" s="1"/>
  <c r="T118" i="28"/>
  <c r="T143" i="28" s="1"/>
  <c r="H211" i="28"/>
  <c r="O178" i="28" s="1"/>
  <c r="O129" i="28"/>
  <c r="O154" i="28" s="1"/>
  <c r="H149" i="28"/>
  <c r="M164" i="28" s="1"/>
  <c r="M115" i="28"/>
  <c r="M140" i="28" s="1"/>
  <c r="H195" i="28"/>
  <c r="O162" i="28" s="1"/>
  <c r="O113" i="28"/>
  <c r="O138" i="28" s="1"/>
  <c r="H160" i="28"/>
  <c r="M175" i="28" s="1"/>
  <c r="M126" i="28"/>
  <c r="M151" i="28" s="1"/>
  <c r="H185" i="28"/>
  <c r="N176" i="28" s="1"/>
  <c r="N127" i="28"/>
  <c r="N152" i="28" s="1"/>
  <c r="H210" i="28"/>
  <c r="O177" i="28" s="1"/>
  <c r="O128" i="28"/>
  <c r="O153" i="28" s="1"/>
  <c r="H279" i="28"/>
  <c r="R174" i="28" s="1"/>
  <c r="R125" i="28"/>
  <c r="R150" i="28" s="1"/>
  <c r="H209" i="28"/>
  <c r="O176" i="28" s="1"/>
  <c r="O127" i="28"/>
  <c r="O152" i="28" s="1"/>
  <c r="F22" i="2114"/>
  <c r="F20" i="2120" s="1"/>
  <c r="H247" i="28"/>
  <c r="Q166" i="28" s="1"/>
  <c r="Q117" i="28"/>
  <c r="Q142" i="28" s="1"/>
  <c r="H152" i="28"/>
  <c r="M167" i="28" s="1"/>
  <c r="M118" i="28"/>
  <c r="M143" i="28" s="1"/>
  <c r="H327" i="28"/>
  <c r="T174" i="28" s="1"/>
  <c r="T125" i="28"/>
  <c r="T150" i="28" s="1"/>
  <c r="H295" i="28"/>
  <c r="S166" i="28" s="1"/>
  <c r="S117" i="28"/>
  <c r="S142" i="28" s="1"/>
  <c r="H128" i="28"/>
  <c r="L167" i="28" s="1"/>
  <c r="L118" i="28"/>
  <c r="L143" i="28" s="1"/>
  <c r="H161" i="28"/>
  <c r="M176" i="28" s="1"/>
  <c r="M127" i="28"/>
  <c r="M152" i="28" s="1"/>
  <c r="H197" i="28"/>
  <c r="O164" i="28" s="1"/>
  <c r="O115" i="28"/>
  <c r="O140" i="28" s="1"/>
  <c r="H342" i="28"/>
  <c r="U165" i="28" s="1"/>
  <c r="U116" i="28"/>
  <c r="U141" i="28" s="1"/>
  <c r="H284" i="28"/>
  <c r="R179" i="28" s="1"/>
  <c r="R130" i="28"/>
  <c r="R155" i="28" s="1"/>
  <c r="H291" i="28"/>
  <c r="S162" i="28" s="1"/>
  <c r="S113" i="28"/>
  <c r="S138" i="28" s="1"/>
  <c r="H276" i="28"/>
  <c r="R171" i="28" s="1"/>
  <c r="R122" i="28"/>
  <c r="R147" i="28" s="1"/>
  <c r="H261" i="28"/>
  <c r="Q180" i="28" s="1"/>
  <c r="Q131" i="28"/>
  <c r="Q156" i="28" s="1"/>
  <c r="H123" i="28"/>
  <c r="L162" i="28" s="1"/>
  <c r="L113" i="28"/>
  <c r="L138" i="28" s="1"/>
  <c r="H165" i="28"/>
  <c r="M180" i="28" s="1"/>
  <c r="M131" i="28"/>
  <c r="M156" i="28" s="1"/>
  <c r="H345" i="28"/>
  <c r="U168" i="28" s="1"/>
  <c r="U119" i="28"/>
  <c r="U144" i="28" s="1"/>
  <c r="H219" i="28"/>
  <c r="P162" i="28" s="1"/>
  <c r="P113" i="28"/>
  <c r="P138" i="28" s="1"/>
  <c r="H130" i="28"/>
  <c r="L169" i="28" s="1"/>
  <c r="L120" i="28"/>
  <c r="L145" i="28" s="1"/>
  <c r="H322" i="28"/>
  <c r="T169" i="28" s="1"/>
  <c r="T120" i="28"/>
  <c r="T145" i="28" s="1"/>
  <c r="H233" i="28"/>
  <c r="P176" i="28" s="1"/>
  <c r="P127" i="28"/>
  <c r="P152" i="28" s="1"/>
  <c r="H239" i="28"/>
  <c r="P182" i="28" s="1"/>
  <c r="P133" i="28"/>
  <c r="P158" i="28" s="1"/>
  <c r="B13" i="2114" s="1"/>
  <c r="B11" i="2120" s="1"/>
  <c r="H334" i="28"/>
  <c r="T181" i="28" s="1"/>
  <c r="T132" i="28"/>
  <c r="T157" i="28" s="1"/>
  <c r="H150" i="28"/>
  <c r="M165" i="28" s="1"/>
  <c r="M116" i="28"/>
  <c r="M141" i="28" s="1"/>
  <c r="H329" i="28"/>
  <c r="T176" i="28" s="1"/>
  <c r="T127" i="28"/>
  <c r="T152" i="28" s="1"/>
  <c r="H321" i="28"/>
  <c r="T168" i="28" s="1"/>
  <c r="T119" i="28"/>
  <c r="T144" i="28" s="1"/>
  <c r="H173" i="28"/>
  <c r="N164" i="28" s="1"/>
  <c r="N115" i="28"/>
  <c r="N140" i="28" s="1"/>
  <c r="H163" i="28"/>
  <c r="M178" i="28" s="1"/>
  <c r="M129" i="28"/>
  <c r="M154" i="28" s="1"/>
  <c r="H180" i="28"/>
  <c r="N171" i="28" s="1"/>
  <c r="N122" i="28"/>
  <c r="N147" i="28" s="1"/>
  <c r="H148" i="28"/>
  <c r="M163" i="28" s="1"/>
  <c r="M114" i="28"/>
  <c r="M139" i="28" s="1"/>
  <c r="H156" i="28"/>
  <c r="M171" i="28" s="1"/>
  <c r="M122" i="28"/>
  <c r="M147" i="28" s="1"/>
  <c r="H256" i="28"/>
  <c r="Q175" i="28" s="1"/>
  <c r="Q126" i="28"/>
  <c r="Q151" i="28" s="1"/>
  <c r="H340" i="28"/>
  <c r="U163" i="28" s="1"/>
  <c r="U114" i="28"/>
  <c r="U139" i="28" s="1"/>
  <c r="H228" i="28"/>
  <c r="P171" i="28" s="1"/>
  <c r="P122" i="28"/>
  <c r="P147" i="28" s="1"/>
  <c r="H227" i="28"/>
  <c r="P170" i="28" s="1"/>
  <c r="P121" i="28"/>
  <c r="P146" i="28" s="1"/>
  <c r="H257" i="28"/>
  <c r="Q176" i="28" s="1"/>
  <c r="Q127" i="28"/>
  <c r="Q152" i="28" s="1"/>
  <c r="H344" i="28"/>
  <c r="U167" i="28" s="1"/>
  <c r="U118" i="28"/>
  <c r="U143" i="28" s="1"/>
  <c r="H132" i="28"/>
  <c r="L171" i="28" s="1"/>
  <c r="L122" i="28"/>
  <c r="L147" i="28" s="1"/>
  <c r="H164" i="28"/>
  <c r="M179" i="28" s="1"/>
  <c r="M130" i="28"/>
  <c r="M155" i="28" s="1"/>
  <c r="H191" i="28"/>
  <c r="N182" i="28" s="1"/>
  <c r="N133" i="28"/>
  <c r="N158" i="28" s="1"/>
  <c r="B11" i="2114" s="1"/>
  <c r="B9" i="2120" s="1"/>
  <c r="H127" i="28"/>
  <c r="L166" i="28" s="1"/>
  <c r="L117" i="28"/>
  <c r="L142" i="28" s="1"/>
  <c r="H280" i="28"/>
  <c r="R175" i="28" s="1"/>
  <c r="R126" i="28"/>
  <c r="R151" i="28" s="1"/>
  <c r="H298" i="28"/>
  <c r="S169" i="28" s="1"/>
  <c r="S120" i="28"/>
  <c r="S145" i="28" s="1"/>
  <c r="H134" i="28"/>
  <c r="L173" i="28" s="1"/>
  <c r="L124" i="28"/>
  <c r="L149" i="28" s="1"/>
  <c r="H207" i="28"/>
  <c r="O174" i="28" s="1"/>
  <c r="O125" i="28"/>
  <c r="O150" i="28" s="1"/>
  <c r="H335" i="28"/>
  <c r="T182" i="28" s="1"/>
  <c r="T133" i="28"/>
  <c r="T158" i="28" s="1"/>
  <c r="B17" i="2114" s="1"/>
  <c r="B15" i="2120" s="1"/>
  <c r="H272" i="28"/>
  <c r="R167" i="28" s="1"/>
  <c r="R118" i="28"/>
  <c r="R143" i="28" s="1"/>
  <c r="H248" i="28"/>
  <c r="Q167" i="28" s="1"/>
  <c r="Q118" i="28"/>
  <c r="Q143" i="28" s="1"/>
  <c r="H236" i="28"/>
  <c r="P179" i="28" s="1"/>
  <c r="P130" i="28"/>
  <c r="P155" i="28" s="1"/>
  <c r="H315" i="28"/>
  <c r="T162" i="28" s="1"/>
  <c r="T113" i="28"/>
  <c r="T138" i="28" s="1"/>
  <c r="H125" i="28"/>
  <c r="L164" i="28" s="1"/>
  <c r="L115" i="28"/>
  <c r="L140" i="28" s="1"/>
  <c r="H356" i="28"/>
  <c r="U179" i="28" s="1"/>
  <c r="U130" i="28"/>
  <c r="U155" i="28" s="1"/>
  <c r="H297" i="28"/>
  <c r="S168" i="28" s="1"/>
  <c r="S119" i="28"/>
  <c r="S144" i="28" s="1"/>
  <c r="H196" i="28"/>
  <c r="O163" i="28" s="1"/>
  <c r="O114" i="28"/>
  <c r="O139" i="28" s="1"/>
  <c r="H140" i="28"/>
  <c r="L179" i="28" s="1"/>
  <c r="L130" i="28"/>
  <c r="L155" i="28" s="1"/>
  <c r="H275" i="28"/>
  <c r="R170" i="28" s="1"/>
  <c r="R121" i="28"/>
  <c r="R146" i="28" s="1"/>
  <c r="H187" i="28"/>
  <c r="N178" i="28" s="1"/>
  <c r="N129" i="28"/>
  <c r="N154" i="28" s="1"/>
  <c r="H304" i="28"/>
  <c r="S175" i="28" s="1"/>
  <c r="S126" i="28"/>
  <c r="S151" i="28" s="1"/>
  <c r="H331" i="28"/>
  <c r="T178" i="28" s="1"/>
  <c r="T129" i="28"/>
  <c r="T154" i="28" s="1"/>
  <c r="H294" i="28"/>
  <c r="S165" i="28" s="1"/>
  <c r="S116" i="28"/>
  <c r="S141" i="28" s="1"/>
  <c r="H190" i="28"/>
  <c r="N181" i="28" s="1"/>
  <c r="N132" i="28"/>
  <c r="N157" i="28" s="1"/>
  <c r="H162" i="28"/>
  <c r="M177" i="28" s="1"/>
  <c r="M128" i="28"/>
  <c r="M153" i="28" s="1"/>
  <c r="H339" i="28"/>
  <c r="U162" i="28" s="1"/>
  <c r="U113" i="28"/>
  <c r="U138" i="28" s="1"/>
  <c r="H300" i="28"/>
  <c r="S171" i="28" s="1"/>
  <c r="S122" i="28"/>
  <c r="S147" i="28" s="1"/>
  <c r="H244" i="28"/>
  <c r="Q163" i="28" s="1"/>
  <c r="Q114" i="28"/>
  <c r="Q139" i="28" s="1"/>
  <c r="F61" i="1"/>
  <c r="G61" i="1" s="1"/>
  <c r="H61" i="1" s="1"/>
  <c r="I61" i="1" s="1"/>
  <c r="F62" i="1"/>
  <c r="G62" i="1" s="1"/>
  <c r="H62" i="1" s="1"/>
  <c r="J62" i="1" s="1"/>
  <c r="G25" i="19" s="1" a="1"/>
  <c r="G25" i="19" s="1"/>
  <c r="G21" i="2117" s="1"/>
  <c r="F63" i="1"/>
  <c r="G63" i="1" s="1"/>
  <c r="H63" i="1" s="1"/>
  <c r="I63" i="1" s="1"/>
  <c r="F64" i="1"/>
  <c r="G64" i="1" s="1"/>
  <c r="H64" i="1" s="1"/>
  <c r="I64" i="1" s="1"/>
  <c r="F65" i="1"/>
  <c r="G65" i="1" s="1"/>
  <c r="H65" i="1" s="1"/>
  <c r="I65" i="1" s="1"/>
  <c r="F66" i="1"/>
  <c r="G66" i="1" s="1"/>
  <c r="H66" i="1" s="1"/>
  <c r="J66" i="1" s="1"/>
  <c r="F75" i="1"/>
  <c r="G75" i="1" s="1"/>
  <c r="H75" i="1" s="1"/>
  <c r="I75" i="1" s="1"/>
  <c r="F67" i="1"/>
  <c r="G67" i="1" s="1"/>
  <c r="H67" i="1" s="1"/>
  <c r="J67" i="1" s="1"/>
  <c r="F57" i="1"/>
  <c r="G57" i="1" s="1"/>
  <c r="H57" i="1" s="1"/>
  <c r="I57" i="1" s="1"/>
  <c r="F43" i="1"/>
  <c r="G43" i="1" s="1"/>
  <c r="H43" i="1" s="1"/>
  <c r="I43" i="1" s="1"/>
  <c r="F74" i="1"/>
  <c r="G74" i="1" s="1"/>
  <c r="H74" i="1" s="1"/>
  <c r="J74" i="1" s="1"/>
  <c r="F76" i="1"/>
  <c r="G76" i="1" s="1"/>
  <c r="H76" i="1" s="1"/>
  <c r="J76" i="1" s="1"/>
  <c r="C84" i="1"/>
  <c r="D84" i="1" s="1"/>
  <c r="K84" i="1" s="1"/>
  <c r="F81" i="1"/>
  <c r="G81" i="1" s="1"/>
  <c r="H81" i="1" s="1"/>
  <c r="I81" i="1" s="1"/>
  <c r="F59" i="1"/>
  <c r="G59" i="1" s="1"/>
  <c r="H59" i="1" s="1"/>
  <c r="J59" i="1" s="1"/>
  <c r="C80" i="1"/>
  <c r="D80" i="1" s="1"/>
  <c r="K80" i="1" s="1"/>
  <c r="C78" i="1"/>
  <c r="D78" i="1" s="1"/>
  <c r="K78" i="1" s="1"/>
  <c r="D26" i="19" s="1" a="1"/>
  <c r="D26" i="19" s="1"/>
  <c r="C76" i="1"/>
  <c r="D76" i="1" s="1"/>
  <c r="K76" i="1" s="1"/>
  <c r="F82" i="1"/>
  <c r="G82" i="1" s="1"/>
  <c r="H82" i="1" s="1"/>
  <c r="I82" i="1" s="1"/>
  <c r="F83" i="1"/>
  <c r="G83" i="1" s="1"/>
  <c r="H83" i="1" s="1"/>
  <c r="J83" i="1" s="1"/>
  <c r="F80" i="1"/>
  <c r="G80" i="1" s="1"/>
  <c r="H80" i="1" s="1"/>
  <c r="J80" i="1" s="1"/>
  <c r="F84" i="1"/>
  <c r="G84" i="1" s="1"/>
  <c r="H84" i="1" s="1"/>
  <c r="J84" i="1" s="1"/>
  <c r="F73" i="1"/>
  <c r="G73" i="1" s="1"/>
  <c r="H73" i="1" s="1"/>
  <c r="I73" i="1" s="1"/>
  <c r="F58" i="1"/>
  <c r="G58" i="1" s="1"/>
  <c r="H58" i="1" s="1"/>
  <c r="J58" i="1" s="1"/>
  <c r="F60" i="1"/>
  <c r="G60" i="1" s="1"/>
  <c r="H60" i="1" s="1"/>
  <c r="I60" i="1" s="1"/>
  <c r="C74" i="1"/>
  <c r="D74" i="1" s="1"/>
  <c r="K74" i="1" s="1"/>
  <c r="F78" i="1"/>
  <c r="G78" i="1" s="1"/>
  <c r="H78" i="1" s="1"/>
  <c r="I78" i="1" s="1"/>
  <c r="C82" i="1"/>
  <c r="D82" i="1" s="1"/>
  <c r="K82" i="1" s="1"/>
  <c r="F79" i="1"/>
  <c r="G79" i="1" s="1"/>
  <c r="H79" i="1" s="1"/>
  <c r="J79" i="1" s="1"/>
  <c r="F77" i="1"/>
  <c r="G77" i="1" s="1"/>
  <c r="H77" i="1" s="1"/>
  <c r="J77" i="1" s="1"/>
  <c r="G52" i="1"/>
  <c r="H52" i="1" s="1"/>
  <c r="J28" i="1"/>
  <c r="I28" i="1"/>
  <c r="H159" i="1"/>
  <c r="I30" i="1"/>
  <c r="J30" i="1"/>
  <c r="J68" i="1"/>
  <c r="I68" i="1"/>
  <c r="H134" i="1"/>
  <c r="H119" i="1"/>
  <c r="H104" i="1"/>
  <c r="J47" i="1"/>
  <c r="I47" i="1"/>
  <c r="H139" i="1"/>
  <c r="I38" i="1"/>
  <c r="J38" i="1"/>
  <c r="I25" i="1"/>
  <c r="J25" i="1"/>
  <c r="J50" i="1"/>
  <c r="I50" i="1"/>
  <c r="J29" i="1"/>
  <c r="I29" i="1"/>
  <c r="H154" i="1"/>
  <c r="I26" i="1"/>
  <c r="H109" i="1"/>
  <c r="H129" i="1"/>
  <c r="H149" i="1"/>
  <c r="J23" i="1"/>
  <c r="I23" i="1"/>
  <c r="H144" i="1"/>
  <c r="I85" i="1"/>
  <c r="J85" i="1"/>
  <c r="H114" i="1"/>
  <c r="H124" i="1"/>
  <c r="C17" i="2107"/>
  <c r="D17" i="2107" s="1"/>
  <c r="C4" i="2107"/>
  <c r="D4" i="2107" s="1"/>
  <c r="C12" i="2107"/>
  <c r="D12" i="2107" s="1"/>
  <c r="C14" i="2107"/>
  <c r="D14" i="2107" s="1"/>
  <c r="C16" i="2107"/>
  <c r="D16" i="2107" s="1"/>
  <c r="C13" i="2107"/>
  <c r="D13" i="2107" s="1"/>
  <c r="C6" i="2107"/>
  <c r="D6" i="2107" s="1"/>
  <c r="C3" i="2107"/>
  <c r="D3" i="2107" s="1"/>
  <c r="C11" i="2107"/>
  <c r="D11" i="2107" s="1"/>
  <c r="C5" i="2107"/>
  <c r="D5" i="2107" s="1"/>
  <c r="C7" i="2107"/>
  <c r="D7" i="2107" s="1"/>
  <c r="C8" i="2107"/>
  <c r="D8" i="2107" s="1"/>
  <c r="C10" i="2107"/>
  <c r="D10" i="2107" s="1"/>
  <c r="D2" i="2107"/>
  <c r="C9" i="2107"/>
  <c r="D9" i="2107" s="1"/>
  <c r="C15" i="2107"/>
  <c r="D15" i="2107" s="1"/>
  <c r="H18" i="28"/>
  <c r="H19" i="28" s="1"/>
  <c r="B89" i="28"/>
  <c r="V89" i="28"/>
  <c r="AA4" i="28" s="1"/>
  <c r="AA7" i="28" s="1"/>
  <c r="T89" i="28"/>
  <c r="Y4" i="28" s="1"/>
  <c r="G89" i="28"/>
  <c r="L4" i="28" s="1"/>
  <c r="H109" i="28"/>
  <c r="L91" i="28"/>
  <c r="H112" i="28"/>
  <c r="O91" i="28"/>
  <c r="M41" i="28"/>
  <c r="H12" i="28" s="1"/>
  <c r="M42" i="28"/>
  <c r="H13" i="28" s="1"/>
  <c r="M40" i="28"/>
  <c r="H10" i="28" s="1"/>
  <c r="E21" i="28"/>
  <c r="M39" i="28" s="1"/>
  <c r="H6" i="28" s="1"/>
  <c r="H89" i="28"/>
  <c r="M4" i="28" s="1"/>
  <c r="N41" i="28"/>
  <c r="I12" i="28" s="1"/>
  <c r="N42" i="28"/>
  <c r="I13" i="28" s="1"/>
  <c r="N40" i="28"/>
  <c r="I10" i="28" s="1"/>
  <c r="E22" i="28"/>
  <c r="N39" i="28" s="1"/>
  <c r="I6" i="28" s="1"/>
  <c r="H104" i="28"/>
  <c r="G91" i="28"/>
  <c r="L89" i="28"/>
  <c r="Q4" i="28" s="1"/>
  <c r="I91" i="28"/>
  <c r="H106" i="28"/>
  <c r="E89" i="28"/>
  <c r="J4" i="28" s="1"/>
  <c r="H105" i="28"/>
  <c r="H91" i="28"/>
  <c r="O89" i="28"/>
  <c r="T4" i="28" s="1"/>
  <c r="R89" i="28"/>
  <c r="W4" i="28" s="1"/>
  <c r="C89" i="28"/>
  <c r="H4" i="28" s="1"/>
  <c r="H99" i="28"/>
  <c r="B91" i="28"/>
  <c r="H107" i="28"/>
  <c r="J91" i="28"/>
  <c r="J89" i="28"/>
  <c r="O4" i="28" s="1"/>
  <c r="H111" i="28"/>
  <c r="N91" i="28"/>
  <c r="H119" i="28"/>
  <c r="V91" i="28"/>
  <c r="D91" i="28"/>
  <c r="H101" i="28"/>
  <c r="E53" i="28"/>
  <c r="O40" i="28"/>
  <c r="J10" i="28" s="1"/>
  <c r="O42" i="28"/>
  <c r="J13" i="28" s="1"/>
  <c r="O41" i="28"/>
  <c r="J12" i="28" s="1"/>
  <c r="E23" i="28"/>
  <c r="O39" i="28" s="1"/>
  <c r="J6" i="28" s="1"/>
  <c r="D89" i="28"/>
  <c r="I4" i="28" s="1"/>
  <c r="H116" i="28"/>
  <c r="S91" i="28"/>
  <c r="I80" i="28"/>
  <c r="J14" i="28"/>
  <c r="I18" i="28"/>
  <c r="I19" i="28" s="1"/>
  <c r="E91" i="28"/>
  <c r="H102" i="28"/>
  <c r="H110" i="28"/>
  <c r="M91" i="28"/>
  <c r="H100" i="28"/>
  <c r="C91" i="28"/>
  <c r="K89" i="28"/>
  <c r="P4" i="28" s="1"/>
  <c r="Q91" i="28"/>
  <c r="H114" i="28"/>
  <c r="P89" i="28"/>
  <c r="U4" i="28" s="1"/>
  <c r="S89" i="28"/>
  <c r="X4" i="28" s="1"/>
  <c r="F89" i="28"/>
  <c r="K4" i="28" s="1"/>
  <c r="M89" i="28"/>
  <c r="R4" i="28" s="1"/>
  <c r="H117" i="28"/>
  <c r="T91" i="28"/>
  <c r="I89" i="28"/>
  <c r="N4" i="28" s="1"/>
  <c r="H113" i="28"/>
  <c r="P91" i="28"/>
  <c r="H108" i="28"/>
  <c r="K91" i="28"/>
  <c r="H103" i="28"/>
  <c r="F91" i="28"/>
  <c r="H118" i="28"/>
  <c r="U91" i="28"/>
  <c r="U89" i="28"/>
  <c r="Z4" i="28" s="1"/>
  <c r="Q89" i="28"/>
  <c r="V4" i="28" s="1"/>
  <c r="H115" i="28"/>
  <c r="R91" i="28"/>
  <c r="N89" i="28"/>
  <c r="S4" i="28" s="1"/>
  <c r="B132" i="2113" l="1"/>
  <c r="B146" i="2118" s="1"/>
  <c r="B150" i="2113"/>
  <c r="J31" i="1"/>
  <c r="J35" i="1"/>
  <c r="J51" i="1"/>
  <c r="I32" i="1"/>
  <c r="B93" i="2113"/>
  <c r="B99" i="2118" s="1"/>
  <c r="B147" i="2113"/>
  <c r="B160" i="2118" s="1"/>
  <c r="B125" i="2113"/>
  <c r="B139" i="2118" s="1"/>
  <c r="B148" i="2113"/>
  <c r="B98" i="2113"/>
  <c r="B104" i="2118" s="1"/>
  <c r="B146" i="2113"/>
  <c r="A146" i="2113" s="1"/>
  <c r="A159" i="2118" s="1"/>
  <c r="B128" i="2113"/>
  <c r="A128" i="2113" s="1"/>
  <c r="B137" i="2113"/>
  <c r="A137" i="2113" s="1"/>
  <c r="A151" i="2118" s="1"/>
  <c r="B94" i="2113"/>
  <c r="A94" i="2113" s="1"/>
  <c r="A100" i="2118" s="1"/>
  <c r="B133" i="2113"/>
  <c r="B147" i="2118" s="1"/>
  <c r="I48" i="1"/>
  <c r="I27" i="1"/>
  <c r="I49" i="1"/>
  <c r="I24" i="1"/>
  <c r="J46" i="1"/>
  <c r="J45" i="1"/>
  <c r="B90" i="2113"/>
  <c r="A90" i="2113" s="1"/>
  <c r="A96" i="2118" s="1"/>
  <c r="B91" i="2113"/>
  <c r="A91" i="2113" s="1"/>
  <c r="A97" i="2118" s="1"/>
  <c r="B151" i="2118"/>
  <c r="J36" i="1"/>
  <c r="J22" i="1"/>
  <c r="B95" i="2113"/>
  <c r="A95" i="2113" s="1"/>
  <c r="A101" i="2118" s="1"/>
  <c r="B134" i="2113"/>
  <c r="B148" i="2118" s="1"/>
  <c r="B89" i="2113"/>
  <c r="A89" i="2113" s="1"/>
  <c r="A95" i="2118" s="1"/>
  <c r="B138" i="2113"/>
  <c r="B152" i="2118" s="1"/>
  <c r="B100" i="2113"/>
  <c r="A100" i="2113" s="1"/>
  <c r="A106" i="2118" s="1"/>
  <c r="B135" i="2113"/>
  <c r="B149" i="2118" s="1"/>
  <c r="B97" i="2113"/>
  <c r="A97" i="2113" s="1"/>
  <c r="A103" i="2118" s="1"/>
  <c r="B99" i="2113"/>
  <c r="A99" i="2113" s="1"/>
  <c r="A105" i="2118" s="1"/>
  <c r="B152" i="2113"/>
  <c r="A152" i="2113" s="1"/>
  <c r="A165" i="2118" s="1"/>
  <c r="B140" i="2113"/>
  <c r="B154" i="2118" s="1"/>
  <c r="B96" i="2113"/>
  <c r="A96" i="2113" s="1"/>
  <c r="A102" i="2118" s="1"/>
  <c r="I34" i="1"/>
  <c r="B136" i="2113"/>
  <c r="B150" i="2118" s="1"/>
  <c r="B154" i="2113"/>
  <c r="B167" i="2118" s="1"/>
  <c r="B124" i="2113"/>
  <c r="B138" i="2118" s="1"/>
  <c r="B92" i="2113"/>
  <c r="A92" i="2113" s="1"/>
  <c r="A98" i="2118" s="1"/>
  <c r="B131" i="2113"/>
  <c r="B145" i="2118" s="1"/>
  <c r="B127" i="2113"/>
  <c r="B141" i="2118" s="1"/>
  <c r="I33" i="1"/>
  <c r="B151" i="2113"/>
  <c r="A151" i="2113" s="1"/>
  <c r="A164" i="2118" s="1"/>
  <c r="B139" i="2113"/>
  <c r="B153" i="2118" s="1"/>
  <c r="B153" i="2113"/>
  <c r="A153" i="2113" s="1"/>
  <c r="A166" i="2118" s="1"/>
  <c r="B126" i="2113"/>
  <c r="B140" i="2118" s="1"/>
  <c r="J37" i="1"/>
  <c r="B155" i="2113"/>
  <c r="B129" i="2113"/>
  <c r="B143" i="2118" s="1"/>
  <c r="J44" i="1"/>
  <c r="B149" i="2113"/>
  <c r="B162" i="2118" s="1"/>
  <c r="B130" i="2113"/>
  <c r="B144" i="2118" s="1"/>
  <c r="J73" i="1"/>
  <c r="J82" i="1"/>
  <c r="A129" i="2113"/>
  <c r="A143" i="2118" s="1"/>
  <c r="I83" i="1"/>
  <c r="I84" i="1"/>
  <c r="J61" i="1"/>
  <c r="B106" i="2113"/>
  <c r="A106" i="2113" s="1"/>
  <c r="A121" i="2118" s="1"/>
  <c r="I80" i="1"/>
  <c r="A134" i="2113"/>
  <c r="A148" i="2118" s="1"/>
  <c r="A135" i="2113"/>
  <c r="A149" i="2118" s="1"/>
  <c r="J75" i="1"/>
  <c r="J78" i="1"/>
  <c r="G26" i="19" s="1" a="1"/>
  <c r="G26" i="19" s="1"/>
  <c r="G22" i="2117" s="1"/>
  <c r="J64" i="1"/>
  <c r="I62" i="1"/>
  <c r="J65" i="1"/>
  <c r="I74" i="1"/>
  <c r="J63" i="1"/>
  <c r="J43" i="1"/>
  <c r="B114" i="2113"/>
  <c r="B129" i="2118" s="1"/>
  <c r="I77" i="1"/>
  <c r="B110" i="2113"/>
  <c r="A110" i="2113" s="1"/>
  <c r="B109" i="2113"/>
  <c r="B33" i="19"/>
  <c r="B29" i="2117" s="1"/>
  <c r="D22" i="2117"/>
  <c r="A147" i="2113"/>
  <c r="A160" i="2118" s="1"/>
  <c r="A150" i="2113"/>
  <c r="A163" i="2118" s="1"/>
  <c r="B163" i="2118"/>
  <c r="B111" i="2113"/>
  <c r="H90" i="28"/>
  <c r="K168" i="28"/>
  <c r="A148" i="2113"/>
  <c r="A161" i="2118" s="1"/>
  <c r="B161" i="2118"/>
  <c r="B112" i="2113"/>
  <c r="B108" i="2113"/>
  <c r="A93" i="2113"/>
  <c r="A99" i="2118" s="1"/>
  <c r="B113" i="2113"/>
  <c r="S90" i="28"/>
  <c r="K179" i="28"/>
  <c r="B117" i="2113"/>
  <c r="D90" i="28"/>
  <c r="K164" i="28"/>
  <c r="O90" i="28"/>
  <c r="K175" i="28"/>
  <c r="I76" i="1"/>
  <c r="R90" i="28"/>
  <c r="K178" i="28"/>
  <c r="Q90" i="28"/>
  <c r="K177" i="28"/>
  <c r="G90" i="28"/>
  <c r="K167" i="28"/>
  <c r="A155" i="2113"/>
  <c r="A168" i="2118" s="1"/>
  <c r="B168" i="2118"/>
  <c r="T90" i="28"/>
  <c r="K180" i="28"/>
  <c r="B115" i="2113"/>
  <c r="P90" i="28"/>
  <c r="K176" i="28"/>
  <c r="B90" i="28"/>
  <c r="K162" i="28"/>
  <c r="L90" i="28"/>
  <c r="K172" i="28"/>
  <c r="I58" i="1"/>
  <c r="U90" i="28"/>
  <c r="K181" i="28"/>
  <c r="C90" i="28"/>
  <c r="K163" i="28"/>
  <c r="I90" i="28"/>
  <c r="K169" i="28"/>
  <c r="J81" i="1"/>
  <c r="B116" i="2113"/>
  <c r="M90" i="28"/>
  <c r="K173" i="28"/>
  <c r="A149" i="2113"/>
  <c r="A162" i="2118" s="1"/>
  <c r="F90" i="28"/>
  <c r="K166" i="28"/>
  <c r="E90" i="28"/>
  <c r="K165" i="28"/>
  <c r="I67" i="1"/>
  <c r="J57" i="1"/>
  <c r="J90" i="28"/>
  <c r="K170" i="28"/>
  <c r="I79" i="1"/>
  <c r="V90" i="28"/>
  <c r="B26" i="2107" s="1"/>
  <c r="K182" i="28"/>
  <c r="I59" i="1"/>
  <c r="J60" i="1"/>
  <c r="B165" i="2118"/>
  <c r="B107" i="2113"/>
  <c r="I66" i="1"/>
  <c r="B118" i="2113"/>
  <c r="K90" i="28"/>
  <c r="K171" i="28"/>
  <c r="N90" i="28"/>
  <c r="K174" i="28"/>
  <c r="I52" i="1"/>
  <c r="J52" i="1"/>
  <c r="I114" i="1"/>
  <c r="E26" i="2113" s="1"/>
  <c r="E23" i="2118" s="1"/>
  <c r="J114" i="1"/>
  <c r="F26" i="2113" s="1"/>
  <c r="F23" i="2118" s="1"/>
  <c r="I119" i="1"/>
  <c r="E32" i="2113" s="1"/>
  <c r="E29" i="2118" s="1"/>
  <c r="J119" i="1"/>
  <c r="F32" i="2113" s="1"/>
  <c r="F29" i="2118" s="1"/>
  <c r="J154" i="1"/>
  <c r="I154" i="1"/>
  <c r="J144" i="1"/>
  <c r="F77" i="2113" s="1"/>
  <c r="F83" i="2118" s="1"/>
  <c r="I144" i="1"/>
  <c r="E77" i="2113" s="1"/>
  <c r="E83" i="2118" s="1"/>
  <c r="I124" i="1"/>
  <c r="E38" i="2113" s="1"/>
  <c r="E35" i="2118" s="1"/>
  <c r="J124" i="1"/>
  <c r="F38" i="2113" s="1"/>
  <c r="F35" i="2118" s="1"/>
  <c r="J139" i="1"/>
  <c r="F71" i="2113" s="1"/>
  <c r="F77" i="2118" s="1"/>
  <c r="I139" i="1"/>
  <c r="E71" i="2113" s="1"/>
  <c r="E77" i="2118" s="1"/>
  <c r="I134" i="1"/>
  <c r="E50" i="2113" s="1"/>
  <c r="E47" i="2118" s="1"/>
  <c r="J134" i="1"/>
  <c r="F50" i="2113" s="1"/>
  <c r="F47" i="2118" s="1"/>
  <c r="J109" i="1"/>
  <c r="F20" i="2113" s="1"/>
  <c r="F17" i="2118" s="1"/>
  <c r="I109" i="1"/>
  <c r="E20" i="2113" s="1"/>
  <c r="E17" i="2118" s="1"/>
  <c r="J149" i="1"/>
  <c r="F83" i="2113" s="1"/>
  <c r="F89" i="2118" s="1"/>
  <c r="I149" i="1"/>
  <c r="E83" i="2113" s="1"/>
  <c r="E89" i="2118" s="1"/>
  <c r="J159" i="1"/>
  <c r="F14" i="2113" s="1"/>
  <c r="F11" i="2118" s="1"/>
  <c r="I159" i="1"/>
  <c r="E14" i="2113" s="1"/>
  <c r="E11" i="2118" s="1"/>
  <c r="I129" i="1"/>
  <c r="E44" i="2113" s="1"/>
  <c r="E41" i="2118" s="1"/>
  <c r="J129" i="1"/>
  <c r="F44" i="2113" s="1"/>
  <c r="F41" i="2118" s="1"/>
  <c r="J104" i="1"/>
  <c r="F161" i="2113" s="1"/>
  <c r="F173" i="2118" s="1"/>
  <c r="I104" i="1"/>
  <c r="E161" i="2113" s="1"/>
  <c r="E173" i="2118" s="1"/>
  <c r="B25" i="2107"/>
  <c r="G41" i="3" s="1"/>
  <c r="K7" i="28"/>
  <c r="X7" i="28"/>
  <c r="B33" i="28"/>
  <c r="S7" i="28"/>
  <c r="U7" i="28"/>
  <c r="I7" i="28"/>
  <c r="I8" i="28" s="1"/>
  <c r="I20" i="28" s="1"/>
  <c r="H7" i="28"/>
  <c r="H8" i="28" s="1"/>
  <c r="H20" i="28" s="1"/>
  <c r="Q7" i="28"/>
  <c r="M12" i="28"/>
  <c r="X12" i="28"/>
  <c r="W12" i="28"/>
  <c r="Y12" i="28"/>
  <c r="N12" i="28"/>
  <c r="R12" i="28"/>
  <c r="Q12" i="28"/>
  <c r="AA12" i="28"/>
  <c r="O12" i="28"/>
  <c r="V12" i="28"/>
  <c r="L12" i="28"/>
  <c r="Z12" i="28"/>
  <c r="S12" i="28"/>
  <c r="P12" i="28"/>
  <c r="T12" i="28"/>
  <c r="K12" i="28"/>
  <c r="U12" i="28"/>
  <c r="T7" i="28"/>
  <c r="V7" i="28"/>
  <c r="W13" i="28"/>
  <c r="P13" i="28"/>
  <c r="T13" i="28"/>
  <c r="O13" i="28"/>
  <c r="N13" i="28"/>
  <c r="Z13" i="28"/>
  <c r="V13" i="28"/>
  <c r="R13" i="28"/>
  <c r="S13" i="28"/>
  <c r="U13" i="28"/>
  <c r="K13" i="28"/>
  <c r="X13" i="28"/>
  <c r="Q13" i="28"/>
  <c r="M13" i="28"/>
  <c r="L13" i="28"/>
  <c r="Y13" i="28"/>
  <c r="AA13" i="28"/>
  <c r="O7" i="28"/>
  <c r="W7" i="28"/>
  <c r="Q10" i="28"/>
  <c r="S10" i="28"/>
  <c r="AA10" i="28"/>
  <c r="Y10" i="28"/>
  <c r="T10" i="28"/>
  <c r="V10" i="28"/>
  <c r="U10" i="28"/>
  <c r="P10" i="28"/>
  <c r="Z10" i="28"/>
  <c r="M10" i="28"/>
  <c r="X10" i="28"/>
  <c r="O10" i="28"/>
  <c r="N10" i="28"/>
  <c r="K10" i="28"/>
  <c r="W10" i="28"/>
  <c r="L10" i="28"/>
  <c r="R10" i="28"/>
  <c r="M7" i="28"/>
  <c r="N7" i="28"/>
  <c r="Z7" i="28"/>
  <c r="R7" i="28"/>
  <c r="P7" i="28"/>
  <c r="J7" i="28"/>
  <c r="J8" i="28" s="1"/>
  <c r="J20" i="28" s="1"/>
  <c r="L7" i="28"/>
  <c r="Q6" i="28"/>
  <c r="M6" i="28"/>
  <c r="O6" i="28"/>
  <c r="N6" i="28"/>
  <c r="R6" i="28"/>
  <c r="U6" i="28"/>
  <c r="Z6" i="28"/>
  <c r="AA6" i="28"/>
  <c r="AA8" i="28" s="1"/>
  <c r="AA20" i="28" s="1"/>
  <c r="T6" i="28"/>
  <c r="S6" i="28"/>
  <c r="V6" i="28"/>
  <c r="K6" i="28"/>
  <c r="W6" i="28"/>
  <c r="L6" i="28"/>
  <c r="P6" i="28"/>
  <c r="X6" i="28"/>
  <c r="Y6" i="28"/>
  <c r="K14" i="28"/>
  <c r="J18" i="28"/>
  <c r="J19" i="28" s="1"/>
  <c r="Y7" i="28"/>
  <c r="A133" i="2113" l="1"/>
  <c r="A147" i="2118" s="1"/>
  <c r="A130" i="2113"/>
  <c r="A144" i="2118" s="1"/>
  <c r="A98" i="2113"/>
  <c r="A104" i="2118" s="1"/>
  <c r="B103" i="2118"/>
  <c r="B106" i="2118"/>
  <c r="A132" i="2113"/>
  <c r="A146" i="2118" s="1"/>
  <c r="B100" i="2118"/>
  <c r="B95" i="2118"/>
  <c r="B142" i="2118"/>
  <c r="A142" i="2118"/>
  <c r="C128" i="2113"/>
  <c r="C142" i="2118" s="1"/>
  <c r="F128" i="2113"/>
  <c r="F142" i="2118" s="1"/>
  <c r="D128" i="2113"/>
  <c r="D142" i="2118" s="1"/>
  <c r="E128" i="2113"/>
  <c r="E142" i="2118" s="1"/>
  <c r="A124" i="2113"/>
  <c r="A138" i="2118" s="1"/>
  <c r="B159" i="2118"/>
  <c r="B97" i="2118"/>
  <c r="A138" i="2113"/>
  <c r="A152" i="2118" s="1"/>
  <c r="A125" i="2113"/>
  <c r="A139" i="2118" s="1"/>
  <c r="E125" i="2113"/>
  <c r="E139" i="2118" s="1"/>
  <c r="A139" i="2113"/>
  <c r="A153" i="2118" s="1"/>
  <c r="B96" i="2118"/>
  <c r="D125" i="2113"/>
  <c r="D139" i="2118" s="1"/>
  <c r="B166" i="2118"/>
  <c r="B164" i="2118"/>
  <c r="A126" i="2113"/>
  <c r="B101" i="2118"/>
  <c r="E137" i="2113"/>
  <c r="E151" i="2118" s="1"/>
  <c r="C137" i="2113"/>
  <c r="C151" i="2118" s="1"/>
  <c r="D137" i="2113"/>
  <c r="D151" i="2118" s="1"/>
  <c r="F137" i="2113"/>
  <c r="F151" i="2118" s="1"/>
  <c r="A154" i="2113"/>
  <c r="A167" i="2118" s="1"/>
  <c r="B98" i="2118"/>
  <c r="C129" i="2113"/>
  <c r="C143" i="2118" s="1"/>
  <c r="D129" i="2113"/>
  <c r="D143" i="2118" s="1"/>
  <c r="A140" i="2113"/>
  <c r="A154" i="2118" s="1"/>
  <c r="A131" i="2113"/>
  <c r="A145" i="2118" s="1"/>
  <c r="B102" i="2118"/>
  <c r="A136" i="2113"/>
  <c r="A150" i="2118" s="1"/>
  <c r="B105" i="2118"/>
  <c r="A127" i="2113"/>
  <c r="A141" i="2118" s="1"/>
  <c r="F129" i="2113"/>
  <c r="F143" i="2118" s="1"/>
  <c r="C139" i="2113"/>
  <c r="C153" i="2118" s="1"/>
  <c r="E129" i="2113"/>
  <c r="E143" i="2118" s="1"/>
  <c r="F134" i="2113"/>
  <c r="F148" i="2118" s="1"/>
  <c r="C134" i="2113"/>
  <c r="C148" i="2118" s="1"/>
  <c r="B121" i="2118"/>
  <c r="C127" i="2113"/>
  <c r="C141" i="2118" s="1"/>
  <c r="D134" i="2113"/>
  <c r="D148" i="2118" s="1"/>
  <c r="E134" i="2113"/>
  <c r="E148" i="2118" s="1"/>
  <c r="E135" i="2113"/>
  <c r="E149" i="2118" s="1"/>
  <c r="C135" i="2113"/>
  <c r="C149" i="2118" s="1"/>
  <c r="D135" i="2113"/>
  <c r="D149" i="2118" s="1"/>
  <c r="F135" i="2113"/>
  <c r="F149" i="2118" s="1"/>
  <c r="F89" i="2113"/>
  <c r="F95" i="2118" s="1"/>
  <c r="E97" i="2113"/>
  <c r="E103" i="2118" s="1"/>
  <c r="D97" i="2113"/>
  <c r="D103" i="2118" s="1"/>
  <c r="F97" i="2113"/>
  <c r="F103" i="2118" s="1"/>
  <c r="C97" i="2113"/>
  <c r="C103" i="2118" s="1"/>
  <c r="A114" i="2113"/>
  <c r="A129" i="2118" s="1"/>
  <c r="E92" i="2113"/>
  <c r="E98" i="2118" s="1"/>
  <c r="C92" i="2113"/>
  <c r="C98" i="2118" s="1"/>
  <c r="F92" i="2113"/>
  <c r="F98" i="2118" s="1"/>
  <c r="D92" i="2113"/>
  <c r="D98" i="2118" s="1"/>
  <c r="E93" i="2113"/>
  <c r="E99" i="2118" s="1"/>
  <c r="D93" i="2113"/>
  <c r="D99" i="2118" s="1"/>
  <c r="F93" i="2113"/>
  <c r="F99" i="2118" s="1"/>
  <c r="D89" i="2113"/>
  <c r="D95" i="2118" s="1"/>
  <c r="F146" i="2113"/>
  <c r="F159" i="2118" s="1"/>
  <c r="E149" i="2113"/>
  <c r="E162" i="2118" s="1"/>
  <c r="C149" i="2113"/>
  <c r="C162" i="2118" s="1"/>
  <c r="F149" i="2113"/>
  <c r="F162" i="2118" s="1"/>
  <c r="D149" i="2113"/>
  <c r="D162" i="2118" s="1"/>
  <c r="E151" i="2113"/>
  <c r="E164" i="2118" s="1"/>
  <c r="F151" i="2113"/>
  <c r="F164" i="2118" s="1"/>
  <c r="F106" i="2113"/>
  <c r="F121" i="2118" s="1"/>
  <c r="E106" i="2113"/>
  <c r="E121" i="2118" s="1"/>
  <c r="C93" i="2113"/>
  <c r="C99" i="2118" s="1"/>
  <c r="E89" i="2113"/>
  <c r="E95" i="2118" s="1"/>
  <c r="C151" i="2113"/>
  <c r="C164" i="2118" s="1"/>
  <c r="D151" i="2113"/>
  <c r="D164" i="2118" s="1"/>
  <c r="D146" i="2113"/>
  <c r="D159" i="2118" s="1"/>
  <c r="C89" i="2113"/>
  <c r="C95" i="2118" s="1"/>
  <c r="F99" i="2113"/>
  <c r="F105" i="2118" s="1"/>
  <c r="C100" i="2113"/>
  <c r="C106" i="2118" s="1"/>
  <c r="D100" i="2113"/>
  <c r="D106" i="2118" s="1"/>
  <c r="C96" i="2113"/>
  <c r="C102" i="2118" s="1"/>
  <c r="C153" i="2113"/>
  <c r="C166" i="2118" s="1"/>
  <c r="E153" i="2113"/>
  <c r="E166" i="2118" s="1"/>
  <c r="D153" i="2113"/>
  <c r="D166" i="2118" s="1"/>
  <c r="A125" i="2118"/>
  <c r="F110" i="2113"/>
  <c r="F125" i="2118" s="1"/>
  <c r="D110" i="2113"/>
  <c r="D125" i="2118" s="1"/>
  <c r="C110" i="2113"/>
  <c r="C125" i="2118" s="1"/>
  <c r="E110" i="2113"/>
  <c r="E125" i="2118" s="1"/>
  <c r="E95" i="2113"/>
  <c r="E101" i="2118" s="1"/>
  <c r="D94" i="2113"/>
  <c r="D100" i="2118" s="1"/>
  <c r="F95" i="2113"/>
  <c r="F101" i="2118" s="1"/>
  <c r="D99" i="2113"/>
  <c r="D105" i="2118" s="1"/>
  <c r="F153" i="2113"/>
  <c r="F166" i="2118" s="1"/>
  <c r="D95" i="2113"/>
  <c r="D101" i="2118" s="1"/>
  <c r="E152" i="2113"/>
  <c r="E165" i="2118" s="1"/>
  <c r="F152" i="2113"/>
  <c r="F165" i="2118" s="1"/>
  <c r="E132" i="2113"/>
  <c r="E146" i="2118" s="1"/>
  <c r="C150" i="2113"/>
  <c r="C163" i="2118" s="1"/>
  <c r="D132" i="2113"/>
  <c r="D146" i="2118" s="1"/>
  <c r="B125" i="2118"/>
  <c r="E94" i="2113"/>
  <c r="E100" i="2118" s="1"/>
  <c r="C94" i="2113"/>
  <c r="C100" i="2118" s="1"/>
  <c r="D152" i="2113"/>
  <c r="D165" i="2118" s="1"/>
  <c r="D150" i="2113"/>
  <c r="D163" i="2118" s="1"/>
  <c r="F150" i="2113"/>
  <c r="F163" i="2118" s="1"/>
  <c r="E150" i="2113"/>
  <c r="E163" i="2118" s="1"/>
  <c r="C95" i="2113"/>
  <c r="C101" i="2118" s="1"/>
  <c r="E147" i="2113"/>
  <c r="E160" i="2118" s="1"/>
  <c r="C152" i="2113"/>
  <c r="C165" i="2118" s="1"/>
  <c r="F94" i="2113"/>
  <c r="F100" i="2118" s="1"/>
  <c r="D147" i="2113"/>
  <c r="D160" i="2118" s="1"/>
  <c r="F147" i="2113"/>
  <c r="F160" i="2118" s="1"/>
  <c r="C147" i="2113"/>
  <c r="C160" i="2118" s="1"/>
  <c r="D96" i="2113"/>
  <c r="D102" i="2118" s="1"/>
  <c r="E146" i="2113"/>
  <c r="E159" i="2118" s="1"/>
  <c r="C106" i="2113"/>
  <c r="C121" i="2118" s="1"/>
  <c r="F96" i="2113"/>
  <c r="F102" i="2118" s="1"/>
  <c r="C146" i="2113"/>
  <c r="C159" i="2118" s="1"/>
  <c r="D106" i="2113"/>
  <c r="D121" i="2118" s="1"/>
  <c r="E96" i="2113"/>
  <c r="E102" i="2118" s="1"/>
  <c r="A112" i="2113"/>
  <c r="B127" i="2118"/>
  <c r="A118" i="2113"/>
  <c r="B133" i="2118"/>
  <c r="E99" i="2113"/>
  <c r="E105" i="2118" s="1"/>
  <c r="A111" i="2113"/>
  <c r="B126" i="2118"/>
  <c r="C99" i="2113"/>
  <c r="C105" i="2118" s="1"/>
  <c r="A107" i="2113"/>
  <c r="B122" i="2118"/>
  <c r="E148" i="2113"/>
  <c r="E161" i="2118" s="1"/>
  <c r="F155" i="2113"/>
  <c r="F168" i="2118" s="1"/>
  <c r="E100" i="2113"/>
  <c r="E106" i="2118" s="1"/>
  <c r="E155" i="2113"/>
  <c r="E168" i="2118" s="1"/>
  <c r="C148" i="2113"/>
  <c r="C161" i="2118" s="1"/>
  <c r="F148" i="2113"/>
  <c r="F161" i="2118" s="1"/>
  <c r="D155" i="2113"/>
  <c r="D168" i="2118" s="1"/>
  <c r="F100" i="2113"/>
  <c r="F106" i="2118" s="1"/>
  <c r="D148" i="2113"/>
  <c r="D161" i="2118" s="1"/>
  <c r="C155" i="2113"/>
  <c r="C168" i="2118" s="1"/>
  <c r="D90" i="2113"/>
  <c r="D96" i="2118" s="1"/>
  <c r="F90" i="2113"/>
  <c r="F96" i="2118" s="1"/>
  <c r="A117" i="2113"/>
  <c r="B132" i="2118"/>
  <c r="A116" i="2113"/>
  <c r="B131" i="2118"/>
  <c r="A109" i="2113"/>
  <c r="B124" i="2118"/>
  <c r="C91" i="2113"/>
  <c r="C97" i="2118" s="1"/>
  <c r="A115" i="2113"/>
  <c r="B130" i="2118"/>
  <c r="D91" i="2113"/>
  <c r="D97" i="2118" s="1"/>
  <c r="A113" i="2113"/>
  <c r="B128" i="2118"/>
  <c r="E91" i="2113"/>
  <c r="E97" i="2118" s="1"/>
  <c r="A108" i="2113"/>
  <c r="B123" i="2118"/>
  <c r="E90" i="2113"/>
  <c r="E96" i="2118" s="1"/>
  <c r="C90" i="2113"/>
  <c r="C96" i="2118" s="1"/>
  <c r="F91" i="2113"/>
  <c r="F97" i="2118" s="1"/>
  <c r="F130" i="2113"/>
  <c r="F144" i="2118" s="1"/>
  <c r="E8" i="2113"/>
  <c r="E5" i="2118" s="1"/>
  <c r="F13" i="19" a="1"/>
  <c r="F13" i="19" s="1"/>
  <c r="F9" i="2117" s="1"/>
  <c r="F8" i="2113"/>
  <c r="F5" i="2118" s="1"/>
  <c r="G13" i="19" a="1"/>
  <c r="G13" i="19" s="1"/>
  <c r="G9" i="2117" s="1"/>
  <c r="B27" i="2107"/>
  <c r="G44" i="3" s="1"/>
  <c r="G43" i="3"/>
  <c r="B3" i="28" a="1"/>
  <c r="B3" i="28" s="1"/>
  <c r="Y8" i="28"/>
  <c r="Y20" i="28" s="1"/>
  <c r="Y23" i="28" s="1"/>
  <c r="Q8" i="28"/>
  <c r="Q20" i="28" s="1"/>
  <c r="Q23" i="28" s="1"/>
  <c r="W8" i="28"/>
  <c r="W20" i="28" s="1"/>
  <c r="W23" i="28" s="1"/>
  <c r="L8" i="28"/>
  <c r="L20" i="28" s="1"/>
  <c r="L23" i="28" s="1"/>
  <c r="K8" i="28"/>
  <c r="K20" i="28" s="1"/>
  <c r="K23" i="28" s="1"/>
  <c r="M8" i="28"/>
  <c r="M20" i="28" s="1"/>
  <c r="M23" i="28" s="1"/>
  <c r="X8" i="28"/>
  <c r="X20" i="28" s="1"/>
  <c r="X23" i="28" s="1"/>
  <c r="P8" i="28"/>
  <c r="P20" i="28" s="1"/>
  <c r="P23" i="28" s="1"/>
  <c r="Z8" i="28"/>
  <c r="Z20" i="28" s="1"/>
  <c r="Z23" i="28" s="1"/>
  <c r="V8" i="28"/>
  <c r="V20" i="28" s="1"/>
  <c r="V23" i="28" s="1"/>
  <c r="R8" i="28"/>
  <c r="R20" i="28" s="1"/>
  <c r="R23" i="28" s="1"/>
  <c r="S8" i="28"/>
  <c r="S20" i="28" s="1"/>
  <c r="S23" i="28" s="1"/>
  <c r="N8" i="28"/>
  <c r="N20" i="28" s="1"/>
  <c r="N23" i="28" s="1"/>
  <c r="O8" i="28"/>
  <c r="O20" i="28" s="1"/>
  <c r="O23" i="28" s="1"/>
  <c r="T8" i="28"/>
  <c r="T20" i="28" s="1"/>
  <c r="T23" i="28" s="1"/>
  <c r="U8" i="28"/>
  <c r="U20" i="28" s="1"/>
  <c r="U23" i="28" s="1"/>
  <c r="H23" i="28"/>
  <c r="I23" i="28"/>
  <c r="J23" i="28"/>
  <c r="K18" i="28"/>
  <c r="K19" i="28" s="1"/>
  <c r="L14" i="28"/>
  <c r="AA23" i="28"/>
  <c r="E133" i="2113" l="1"/>
  <c r="E147" i="2118" s="1"/>
  <c r="F133" i="2113"/>
  <c r="F147" i="2118" s="1"/>
  <c r="D133" i="2113"/>
  <c r="D147" i="2118" s="1"/>
  <c r="C133" i="2113"/>
  <c r="C147" i="2118" s="1"/>
  <c r="E130" i="2113"/>
  <c r="E144" i="2118" s="1"/>
  <c r="C130" i="2113"/>
  <c r="C144" i="2118" s="1"/>
  <c r="C125" i="2113"/>
  <c r="C139" i="2118" s="1"/>
  <c r="D127" i="2113"/>
  <c r="D141" i="2118" s="1"/>
  <c r="F131" i="2113"/>
  <c r="F145" i="2118" s="1"/>
  <c r="E127" i="2113"/>
  <c r="E141" i="2118" s="1"/>
  <c r="D130" i="2113"/>
  <c r="D144" i="2118" s="1"/>
  <c r="F127" i="2113"/>
  <c r="F141" i="2118" s="1"/>
  <c r="F125" i="2113"/>
  <c r="F139" i="2118" s="1"/>
  <c r="D98" i="2113"/>
  <c r="D104" i="2118" s="1"/>
  <c r="F98" i="2113"/>
  <c r="F104" i="2118" s="1"/>
  <c r="C98" i="2113"/>
  <c r="C104" i="2118" s="1"/>
  <c r="E98" i="2113"/>
  <c r="E104" i="2118" s="1"/>
  <c r="F132" i="2113"/>
  <c r="F146" i="2118" s="1"/>
  <c r="C132" i="2113"/>
  <c r="C146" i="2118" s="1"/>
  <c r="F138" i="2113"/>
  <c r="F152" i="2118" s="1"/>
  <c r="D138" i="2113"/>
  <c r="D152" i="2118" s="1"/>
  <c r="D140" i="2113"/>
  <c r="D154" i="2118" s="1"/>
  <c r="F124" i="2113"/>
  <c r="F138" i="2118" s="1"/>
  <c r="F139" i="2113"/>
  <c r="F153" i="2118" s="1"/>
  <c r="E138" i="2113"/>
  <c r="E152" i="2118" s="1"/>
  <c r="D124" i="2113"/>
  <c r="D138" i="2118" s="1"/>
  <c r="D139" i="2113"/>
  <c r="D153" i="2118" s="1"/>
  <c r="C124" i="2113"/>
  <c r="C138" i="2118" s="1"/>
  <c r="E139" i="2113"/>
  <c r="E153" i="2118" s="1"/>
  <c r="C138" i="2113"/>
  <c r="C152" i="2118" s="1"/>
  <c r="E124" i="2113"/>
  <c r="E138" i="2118" s="1"/>
  <c r="A140" i="2118"/>
  <c r="E126" i="2113"/>
  <c r="E140" i="2118" s="1"/>
  <c r="C126" i="2113"/>
  <c r="C140" i="2118" s="1"/>
  <c r="F126" i="2113"/>
  <c r="F140" i="2118" s="1"/>
  <c r="D126" i="2113"/>
  <c r="D140" i="2118" s="1"/>
  <c r="E131" i="2113"/>
  <c r="E145" i="2118" s="1"/>
  <c r="D131" i="2113"/>
  <c r="D145" i="2118" s="1"/>
  <c r="E154" i="2113"/>
  <c r="E167" i="2118" s="1"/>
  <c r="F140" i="2113"/>
  <c r="F154" i="2118" s="1"/>
  <c r="D154" i="2113"/>
  <c r="D167" i="2118" s="1"/>
  <c r="F154" i="2113"/>
  <c r="F167" i="2118" s="1"/>
  <c r="E140" i="2113"/>
  <c r="E154" i="2118" s="1"/>
  <c r="C140" i="2113"/>
  <c r="C154" i="2118" s="1"/>
  <c r="C154" i="2113"/>
  <c r="C167" i="2118" s="1"/>
  <c r="F136" i="2113"/>
  <c r="F150" i="2118" s="1"/>
  <c r="D136" i="2113"/>
  <c r="D150" i="2118" s="1"/>
  <c r="E136" i="2113"/>
  <c r="E150" i="2118" s="1"/>
  <c r="C136" i="2113"/>
  <c r="C150" i="2118" s="1"/>
  <c r="C131" i="2113"/>
  <c r="C145" i="2118" s="1"/>
  <c r="D114" i="2113"/>
  <c r="D129" i="2118" s="1"/>
  <c r="E114" i="2113"/>
  <c r="E129" i="2118" s="1"/>
  <c r="C114" i="2113"/>
  <c r="C129" i="2118" s="1"/>
  <c r="F114" i="2113"/>
  <c r="F129" i="2118" s="1"/>
  <c r="A122" i="2118"/>
  <c r="D107" i="2113"/>
  <c r="D122" i="2118" s="1"/>
  <c r="E107" i="2113"/>
  <c r="E122" i="2118" s="1"/>
  <c r="F107" i="2113"/>
  <c r="F122" i="2118" s="1"/>
  <c r="C107" i="2113"/>
  <c r="C122" i="2118" s="1"/>
  <c r="B5" i="28"/>
  <c r="B32" i="19"/>
  <c r="B28" i="2117" s="1"/>
  <c r="A124" i="2118"/>
  <c r="D109" i="2113"/>
  <c r="D124" i="2118" s="1"/>
  <c r="C109" i="2113"/>
  <c r="C124" i="2118" s="1"/>
  <c r="F109" i="2113"/>
  <c r="F124" i="2118" s="1"/>
  <c r="E109" i="2113"/>
  <c r="E124" i="2118" s="1"/>
  <c r="A131" i="2118"/>
  <c r="C116" i="2113"/>
  <c r="C131" i="2118" s="1"/>
  <c r="E116" i="2113"/>
  <c r="E131" i="2118" s="1"/>
  <c r="F116" i="2113"/>
  <c r="F131" i="2118" s="1"/>
  <c r="D116" i="2113"/>
  <c r="D131" i="2118" s="1"/>
  <c r="A132" i="2118"/>
  <c r="E117" i="2113"/>
  <c r="E132" i="2118" s="1"/>
  <c r="F117" i="2113"/>
  <c r="F132" i="2118" s="1"/>
  <c r="D117" i="2113"/>
  <c r="D132" i="2118" s="1"/>
  <c r="C117" i="2113"/>
  <c r="C132" i="2118" s="1"/>
  <c r="A126" i="2118"/>
  <c r="C111" i="2113"/>
  <c r="C126" i="2118" s="1"/>
  <c r="F111" i="2113"/>
  <c r="F126" i="2118" s="1"/>
  <c r="E111" i="2113"/>
  <c r="E126" i="2118" s="1"/>
  <c r="D111" i="2113"/>
  <c r="D126" i="2118" s="1"/>
  <c r="A128" i="2118"/>
  <c r="C113" i="2113"/>
  <c r="C128" i="2118" s="1"/>
  <c r="E113" i="2113"/>
  <c r="E128" i="2118" s="1"/>
  <c r="D113" i="2113"/>
  <c r="D128" i="2118" s="1"/>
  <c r="F113" i="2113"/>
  <c r="F128" i="2118" s="1"/>
  <c r="A123" i="2118"/>
  <c r="F108" i="2113"/>
  <c r="F123" i="2118" s="1"/>
  <c r="D108" i="2113"/>
  <c r="D123" i="2118" s="1"/>
  <c r="C108" i="2113"/>
  <c r="C123" i="2118" s="1"/>
  <c r="E108" i="2113"/>
  <c r="E123" i="2118" s="1"/>
  <c r="A130" i="2118"/>
  <c r="E115" i="2113"/>
  <c r="E130" i="2118" s="1"/>
  <c r="F115" i="2113"/>
  <c r="F130" i="2118" s="1"/>
  <c r="D115" i="2113"/>
  <c r="D130" i="2118" s="1"/>
  <c r="C115" i="2113"/>
  <c r="C130" i="2118" s="1"/>
  <c r="A133" i="2118"/>
  <c r="E118" i="2113"/>
  <c r="E133" i="2118" s="1"/>
  <c r="F118" i="2113"/>
  <c r="F133" i="2118" s="1"/>
  <c r="D118" i="2113"/>
  <c r="D133" i="2118" s="1"/>
  <c r="C118" i="2113"/>
  <c r="C133" i="2118" s="1"/>
  <c r="A127" i="2118"/>
  <c r="C112" i="2113"/>
  <c r="C127" i="2118" s="1"/>
  <c r="D112" i="2113"/>
  <c r="D127" i="2118" s="1"/>
  <c r="E112" i="2113"/>
  <c r="E127" i="2118" s="1"/>
  <c r="F112" i="2113"/>
  <c r="F127" i="2118" s="1"/>
  <c r="G22" i="28"/>
  <c r="B34" i="28"/>
  <c r="B35" i="28" s="1"/>
  <c r="B37" i="28" s="1"/>
  <c r="B36" i="28" s="1"/>
  <c r="C36" i="28" s="1"/>
  <c r="M14" i="28"/>
  <c r="L18" i="28"/>
  <c r="L19" i="28" s="1"/>
  <c r="G24" i="28" l="1"/>
  <c r="G25" i="28" s="1"/>
  <c r="N14" i="28"/>
  <c r="M18" i="28"/>
  <c r="M19" i="28" s="1"/>
  <c r="H16" i="28"/>
  <c r="G26" i="28" l="1"/>
  <c r="G36" i="28" s="1"/>
  <c r="H36" i="28" s="1"/>
  <c r="I36" i="28" s="1"/>
  <c r="O14" i="28"/>
  <c r="N18" i="28"/>
  <c r="N19" i="28" s="1"/>
  <c r="I16" i="28"/>
  <c r="H24" i="28"/>
  <c r="H25" i="28" s="1"/>
  <c r="H21" i="28"/>
  <c r="I24" i="28" l="1"/>
  <c r="I25" i="28" s="1"/>
  <c r="I21" i="28"/>
  <c r="J16" i="28"/>
  <c r="P14" i="28"/>
  <c r="O18" i="28"/>
  <c r="O19" i="28" s="1"/>
  <c r="H26" i="28"/>
  <c r="I26" i="28" l="1"/>
  <c r="G38" i="28" s="1"/>
  <c r="P18" i="28"/>
  <c r="P19" i="28" s="1"/>
  <c r="Q14" i="28"/>
  <c r="G37" i="28"/>
  <c r="J24" i="28"/>
  <c r="J25" i="28" s="1"/>
  <c r="J21" i="28"/>
  <c r="K16" i="28"/>
  <c r="H38" i="28" l="1"/>
  <c r="I38" i="28" s="1"/>
  <c r="H37" i="28"/>
  <c r="I37" i="28" s="1"/>
  <c r="L16" i="28"/>
  <c r="R14" i="28"/>
  <c r="Q18" i="28"/>
  <c r="Q19" i="28" s="1"/>
  <c r="K24" i="28"/>
  <c r="K25" i="28" s="1"/>
  <c r="K26" i="28" s="1"/>
  <c r="G40" i="28" s="1"/>
  <c r="K21" i="28"/>
  <c r="J26" i="28"/>
  <c r="G39" i="28" l="1"/>
  <c r="L24" i="28"/>
  <c r="L25" i="28" s="1"/>
  <c r="L21" i="28"/>
  <c r="R18" i="28"/>
  <c r="R19" i="28" s="1"/>
  <c r="S14" i="28"/>
  <c r="M16" i="28"/>
  <c r="M24" i="28" l="1"/>
  <c r="M25" i="28" s="1"/>
  <c r="M26" i="28" s="1"/>
  <c r="G42" i="28" s="1"/>
  <c r="M21" i="28"/>
  <c r="H40" i="28"/>
  <c r="I40" i="28" s="1"/>
  <c r="H39" i="28"/>
  <c r="I39" i="28" s="1"/>
  <c r="T14" i="28"/>
  <c r="S18" i="28"/>
  <c r="S19" i="28" s="1"/>
  <c r="N16" i="28"/>
  <c r="L26" i="28"/>
  <c r="U14" i="28" l="1"/>
  <c r="T18" i="28"/>
  <c r="T19" i="28" s="1"/>
  <c r="O16" i="28"/>
  <c r="G41" i="28"/>
  <c r="N24" i="28"/>
  <c r="N25" i="28" s="1"/>
  <c r="N21" i="28"/>
  <c r="U18" i="28" l="1"/>
  <c r="U19" i="28" s="1"/>
  <c r="V14" i="28"/>
  <c r="H41" i="28"/>
  <c r="I41" i="28" s="1"/>
  <c r="H42" i="28"/>
  <c r="P16" i="28"/>
  <c r="N26" i="28"/>
  <c r="O24" i="28"/>
  <c r="O25" i="28" s="1"/>
  <c r="O26" i="28" s="1"/>
  <c r="G44" i="28" s="1"/>
  <c r="O21" i="28"/>
  <c r="I42" i="28" l="1"/>
  <c r="I58" i="28"/>
  <c r="W14" i="28"/>
  <c r="V18" i="28"/>
  <c r="V19" i="28" s="1"/>
  <c r="P24" i="28"/>
  <c r="P25" i="28" s="1"/>
  <c r="P26" i="28" s="1"/>
  <c r="G45" i="28" s="1"/>
  <c r="P21" i="28"/>
  <c r="Q16" i="28"/>
  <c r="G43" i="28"/>
  <c r="H45" i="28" l="1"/>
  <c r="I45" i="28" s="1"/>
  <c r="H43" i="28"/>
  <c r="I43" i="28" s="1"/>
  <c r="H44" i="28"/>
  <c r="I44" i="28" s="1"/>
  <c r="X14" i="28"/>
  <c r="W18" i="28"/>
  <c r="W19" i="28" s="1"/>
  <c r="Q24" i="28"/>
  <c r="Q25" i="28" s="1"/>
  <c r="Q26" i="28" s="1"/>
  <c r="G46" i="28" s="1"/>
  <c r="H46" i="28" s="1"/>
  <c r="I46" i="28" s="1"/>
  <c r="Q21" i="28"/>
  <c r="R16" i="28"/>
  <c r="R24" i="28" l="1"/>
  <c r="R25" i="28" s="1"/>
  <c r="R26" i="28" s="1"/>
  <c r="G47" i="28" s="1"/>
  <c r="H47" i="28" s="1"/>
  <c r="I47" i="28" s="1"/>
  <c r="R21" i="28"/>
  <c r="Y14" i="28"/>
  <c r="X18" i="28"/>
  <c r="X19" i="28" s="1"/>
  <c r="S16" i="28"/>
  <c r="Z14" i="28" l="1"/>
  <c r="Y18" i="28"/>
  <c r="Y19" i="28" s="1"/>
  <c r="S24" i="28"/>
  <c r="S25" i="28" s="1"/>
  <c r="S26" i="28" s="1"/>
  <c r="G48" i="28" s="1"/>
  <c r="S21" i="28"/>
  <c r="T16" i="28"/>
  <c r="H48" i="28" l="1"/>
  <c r="I48" i="28" s="1"/>
  <c r="T24" i="28"/>
  <c r="T25" i="28" s="1"/>
  <c r="T26" i="28" s="1"/>
  <c r="G49" i="28" s="1"/>
  <c r="H49" i="28" s="1"/>
  <c r="T21" i="28"/>
  <c r="Z18" i="28"/>
  <c r="Z19" i="28" s="1"/>
  <c r="AA14" i="28"/>
  <c r="U16" i="28"/>
  <c r="V16" i="28" l="1"/>
  <c r="I49" i="28"/>
  <c r="H58" i="28"/>
  <c r="U24" i="28"/>
  <c r="U25" i="28" s="1"/>
  <c r="U26" i="28" s="1"/>
  <c r="G50" i="28" s="1"/>
  <c r="H50" i="28" s="1"/>
  <c r="I50" i="28" s="1"/>
  <c r="U21" i="28"/>
  <c r="AA18" i="28"/>
  <c r="AA19" i="28" s="1"/>
  <c r="W16" i="28" l="1"/>
  <c r="V24" i="28"/>
  <c r="V25" i="28" s="1"/>
  <c r="V26" i="28" s="1"/>
  <c r="G51" i="28" s="1"/>
  <c r="H51" i="28" s="1"/>
  <c r="I51" i="28" s="1"/>
  <c r="V21" i="28"/>
  <c r="W24" i="28" l="1"/>
  <c r="W25" i="28" s="1"/>
  <c r="W26" i="28" s="1"/>
  <c r="G52" i="28" s="1"/>
  <c r="W21" i="28"/>
  <c r="X16" i="28"/>
  <c r="H52" i="28" l="1"/>
  <c r="I52" i="28" s="1"/>
  <c r="X24" i="28"/>
  <c r="X25" i="28" s="1"/>
  <c r="X26" i="28" s="1"/>
  <c r="G53" i="28" s="1"/>
  <c r="H53" i="28" s="1"/>
  <c r="I53" i="28" s="1"/>
  <c r="X21" i="28"/>
  <c r="Y16" i="28"/>
  <c r="Y24" i="28" l="1"/>
  <c r="Y25" i="28" s="1"/>
  <c r="Y26" i="28" s="1"/>
  <c r="G54" i="28" s="1"/>
  <c r="H54" i="28" s="1"/>
  <c r="I54" i="28" s="1"/>
  <c r="Y21" i="28"/>
  <c r="AA16" i="28"/>
  <c r="Z16" i="28"/>
  <c r="AA24" i="28" l="1"/>
  <c r="AA25" i="28" s="1"/>
  <c r="AA21" i="28"/>
  <c r="Z24" i="28"/>
  <c r="Z25" i="28" s="1"/>
  <c r="Z26" i="28" s="1"/>
  <c r="G55" i="28" s="1"/>
  <c r="H55" i="28" s="1"/>
  <c r="I55" i="28" s="1"/>
  <c r="Z21" i="28"/>
  <c r="G32" i="28" l="1"/>
  <c r="AA26" i="28"/>
  <c r="D32" i="19" l="1"/>
  <c r="D28" i="2117" s="1"/>
  <c r="G56" i="28"/>
  <c r="J29" i="28"/>
  <c r="I29" i="28" s="1"/>
  <c r="H29" i="28" s="1"/>
  <c r="G29" i="28" s="1"/>
  <c r="D31" i="19" l="1"/>
  <c r="D27" i="2117" s="1"/>
  <c r="H56" i="28"/>
  <c r="I56" i="28" s="1"/>
  <c r="I31" i="28"/>
  <c r="G58" i="28" l="1"/>
  <c r="I60" i="28" s="1"/>
  <c r="H60" i="28" s="1"/>
  <c r="G60" i="28" s="1"/>
  <c r="G59" i="28" l="1"/>
  <c r="I59" i="28" s="1"/>
  <c r="H59" i="28" s="1"/>
  <c r="G31" i="28" l="1"/>
  <c r="D30" i="19" s="1"/>
  <c r="D26" i="2117"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3">
    <bk>
      <extLst>
        <ext uri="{3e2802c4-a4d2-4d8b-9148-e3be6c30e623}">
          <xlrd:rvb i="0"/>
        </ext>
      </extLst>
    </bk>
    <bk>
      <extLst>
        <ext uri="{3e2802c4-a4d2-4d8b-9148-e3be6c30e623}">
          <xlrd:rvb i="1"/>
        </ext>
      </extLst>
    </bk>
    <bk>
      <extLst>
        <ext uri="{3e2802c4-a4d2-4d8b-9148-e3be6c30e623}">
          <xlrd:rvb i="2"/>
        </ext>
      </extLst>
    </bk>
  </futureMetadata>
  <cellMetadata count="1">
    <bk>
      <rc t="1" v="0"/>
    </bk>
  </cellMetadata>
  <valueMetadata count="3">
    <bk>
      <rc t="2" v="0"/>
    </bk>
    <bk>
      <rc t="2" v="1"/>
    </bk>
    <bk>
      <rc t="2" v="2"/>
    </bk>
  </valueMetadata>
</metadata>
</file>

<file path=xl/sharedStrings.xml><?xml version="1.0" encoding="utf-8"?>
<sst xmlns="http://schemas.openxmlformats.org/spreadsheetml/2006/main" count="1876" uniqueCount="760">
  <si>
    <t>Value-Added Dairy Processing  Decision Making Tool:                    Cheese Processing</t>
  </si>
  <si>
    <t>Created by:</t>
  </si>
  <si>
    <t>Caitlin Zaring Weir, Post Doctoral Research Associate</t>
  </si>
  <si>
    <t>Liz Eckelkamp, Associate Professor &amp; State Dairy Extension Specialist</t>
  </si>
  <si>
    <t>University of Tennessee, Department of Animal Science</t>
  </si>
  <si>
    <t>This Excel workbook is designed to provide producers with financial and processing information to support decisions about starting or expanding a cheese processing value-added dairy operation. This tool is intended to be used for investment planning considerations, and should not be used for a day to day processing guideline.</t>
  </si>
  <si>
    <t>Information you'll need to fill out the tool:</t>
  </si>
  <si>
    <t>Milk Production and Milk Quality</t>
  </si>
  <si>
    <t>Cheese Costs and Packaging</t>
  </si>
  <si>
    <t>Costs and Pricing</t>
  </si>
  <si>
    <t>Equipment</t>
  </si>
  <si>
    <t>How to Use this Workbook</t>
  </si>
  <si>
    <t>1. Make sure you enable external content/macros.</t>
  </si>
  <si>
    <t>2. Click the start button below to bring you to the orange "Inputs" tab.</t>
  </si>
  <si>
    <t>3. Fill in the grey-shaded cells - use or adjust to the pre-filled data</t>
  </si>
  <si>
    <t>4. Use the next and see buttons to navigate through the green tabs: Outputs, Suggested Equipment, and Equipment List</t>
  </si>
  <si>
    <t>5. Reference the personalized results and suggestions generated from your farm's data</t>
  </si>
  <si>
    <t>*Outputs require processing 7 days per week</t>
  </si>
  <si>
    <t>*For explanations of the specific reference sheets, refer to the sheet.</t>
  </si>
  <si>
    <t>The grey cells contain averages or benchmarks from a comprehensive survey of Tennessee value-added dairies. These can be modified to better fit your operation.</t>
  </si>
  <si>
    <t>To reset the Inputs screen's values back to the default, press the reset button.</t>
  </si>
  <si>
    <t>To clear the Inputs screen's values back to the default, press the clear button.</t>
  </si>
  <si>
    <t>For questions about this tool or the Southeast Dairy Business Innovation Initiative (SDBII) please reference www.sdbii.tennessee.edu or contact:</t>
  </si>
  <si>
    <t>Liz Eckelkamp</t>
  </si>
  <si>
    <t>eeckelka@utk.edu</t>
  </si>
  <si>
    <t>(865)-974-8167</t>
  </si>
  <si>
    <t xml:space="preserve">The grey cells have data entered that can be used or adjusted to better fit your operation. The pre-populated data consists of averages or benchmarks provided by a comprehensive survey of Tennessee value-added dairies. </t>
  </si>
  <si>
    <t>Herd and Milk Production Related Information</t>
  </si>
  <si>
    <t>Herd Size - All Cows</t>
  </si>
  <si>
    <t>Average production per animal per day</t>
  </si>
  <si>
    <t>Average fat %</t>
  </si>
  <si>
    <t>Average protein %</t>
  </si>
  <si>
    <t>How many months do you milk each year?</t>
  </si>
  <si>
    <t>What percentage of your herd do you intend to process milk from?</t>
  </si>
  <si>
    <t>How long do you intend to process milk (years)?</t>
  </si>
  <si>
    <t>Desired Products</t>
  </si>
  <si>
    <t>Raw Milk to Cheese Yield (%)</t>
  </si>
  <si>
    <t>Total Production (%)</t>
  </si>
  <si>
    <t>Cheese</t>
  </si>
  <si>
    <t>Standard Yields</t>
  </si>
  <si>
    <t>Aging Time</t>
  </si>
  <si>
    <t>Examples</t>
  </si>
  <si>
    <t>Cheddar</t>
  </si>
  <si>
    <t>at least 60 days</t>
  </si>
  <si>
    <t>Mild, Medium, Sharp, Flavored</t>
  </si>
  <si>
    <t>Gouda</t>
  </si>
  <si>
    <t>150 days</t>
  </si>
  <si>
    <t>Gouda, Havarti, Munster</t>
  </si>
  <si>
    <t>Other Hard</t>
  </si>
  <si>
    <t>Hard</t>
  </si>
  <si>
    <t>180 days</t>
  </si>
  <si>
    <t>Parmesan, Romano, Asiago</t>
  </si>
  <si>
    <t>Mozzarella</t>
  </si>
  <si>
    <t>2 days</t>
  </si>
  <si>
    <t>Mozzarella, Burratta, Flavored</t>
  </si>
  <si>
    <t>Bloomy Rind</t>
  </si>
  <si>
    <t>14 days</t>
  </si>
  <si>
    <t>Brie, Camembert, Fromager d'Affinois, Humboldt Fog</t>
  </si>
  <si>
    <t>Alpine</t>
  </si>
  <si>
    <t>120 to 180 days</t>
  </si>
  <si>
    <t>Gruyere, Emmenthaler, Swiss, Comte</t>
  </si>
  <si>
    <t>Blue Cheese</t>
  </si>
  <si>
    <t>60 to 90 days</t>
  </si>
  <si>
    <t>Gorgonzola, Stilton, Roquefort</t>
  </si>
  <si>
    <t>Other Fresh</t>
  </si>
  <si>
    <t>Fresh</t>
  </si>
  <si>
    <t>Feta, Cojita, Paneer, Cream Cheese, Ricotta</t>
  </si>
  <si>
    <t>Other Cheese 1</t>
  </si>
  <si>
    <t>**Anything aged &lt; 60 days MUST be pasteurized</t>
  </si>
  <si>
    <t>Other Cheese 2</t>
  </si>
  <si>
    <t>Other Cheese 3</t>
  </si>
  <si>
    <t>Total Cheese Aged At Least 60 Days</t>
  </si>
  <si>
    <t>Total Cheese Aged Less Than 60 Days</t>
  </si>
  <si>
    <t>Total "Other Cheeses"</t>
  </si>
  <si>
    <t>Related Costs</t>
  </si>
  <si>
    <t>Labor</t>
  </si>
  <si>
    <t>Labor Rate Per Hour</t>
  </si>
  <si>
    <t>Number of Employees</t>
  </si>
  <si>
    <t>CWT Processing Per Hour</t>
  </si>
  <si>
    <t>Processing Building and Aging Room</t>
  </si>
  <si>
    <t>Do you have one building cost total that includes processing facility and aging room?</t>
  </si>
  <si>
    <t>Yes</t>
  </si>
  <si>
    <t>Total aging room and processing facility cost (if answered yes to above quesiton)</t>
  </si>
  <si>
    <t>Calculated Square Footage and Costs:</t>
  </si>
  <si>
    <t>Processing Facility SqFt</t>
  </si>
  <si>
    <t>Processing Facility Cost per SqFt</t>
  </si>
  <si>
    <t>Processing Facility Cost per Sqft</t>
  </si>
  <si>
    <t>Aging Room SqFt</t>
  </si>
  <si>
    <t>Aging Room Cost Total</t>
  </si>
  <si>
    <t>Aging Room Cost per SqFt</t>
  </si>
  <si>
    <t>Other Costs</t>
  </si>
  <si>
    <t>Calculated Costs:</t>
  </si>
  <si>
    <t>Utilities per CWT</t>
  </si>
  <si>
    <t>Utilities</t>
  </si>
  <si>
    <t>Other Costs per CWT</t>
  </si>
  <si>
    <t>Cost to Produce Raw Milk (in CWT)</t>
  </si>
  <si>
    <t>Revenue Streams</t>
  </si>
  <si>
    <t>Suggested Price Adjustemnts based on Retail Market Values (February 2025)</t>
  </si>
  <si>
    <t>Mailbox Milk Price (in CWT)</t>
  </si>
  <si>
    <t>Desired Cheese Prices per Pound</t>
  </si>
  <si>
    <t>Minimum Price per Pound</t>
  </si>
  <si>
    <t>Average Price per Pound</t>
  </si>
  <si>
    <t>Maximum Price Per Pound</t>
  </si>
  <si>
    <t>Price Change Compared to Cheddar</t>
  </si>
  <si>
    <t>Blue</t>
  </si>
  <si>
    <t>Other 1</t>
  </si>
  <si>
    <t>Other 2</t>
  </si>
  <si>
    <t>Other 3</t>
  </si>
  <si>
    <t>Cheese Equipment Pieces: Please Select your desired equipment from the dropdown list. If you do not want an equipment item, select "Not Applicable". If you have a quoted price for equipment, select "Quoted" and enter the price, capcity, and units of capacity.</t>
  </si>
  <si>
    <t>Price</t>
  </si>
  <si>
    <t>Capacity #</t>
  </si>
  <si>
    <t>Capacity Units to Enter in "Capacity #"</t>
  </si>
  <si>
    <t>Aging Room Environmental Controls</t>
  </si>
  <si>
    <t>Average Aging Room Env. Controls</t>
  </si>
  <si>
    <t>Aging Room Storage</t>
  </si>
  <si>
    <t>Average Aging Room Storage</t>
  </si>
  <si>
    <t>Brine Tank</t>
  </si>
  <si>
    <t>Not Applicable</t>
  </si>
  <si>
    <t>Brushing Machine</t>
  </si>
  <si>
    <t>Cheese Piercers</t>
  </si>
  <si>
    <t>Curd Distributors</t>
  </si>
  <si>
    <t>Average Curd Distributors</t>
  </si>
  <si>
    <t>Drain Table</t>
  </si>
  <si>
    <t>Average Drain Table</t>
  </si>
  <si>
    <t>Molds</t>
  </si>
  <si>
    <t>Average Molds</t>
  </si>
  <si>
    <t>Press</t>
  </si>
  <si>
    <t>Average Cheese Press</t>
  </si>
  <si>
    <t>Slicers</t>
  </si>
  <si>
    <t>Average Slicers</t>
  </si>
  <si>
    <t>Smoker</t>
  </si>
  <si>
    <t>Stretcher</t>
  </si>
  <si>
    <t>Cheese Vat</t>
  </si>
  <si>
    <t>Average Open Cheese Vat</t>
  </si>
  <si>
    <t>Combination Vat Pastueurizer and Cheese Vat</t>
  </si>
  <si>
    <t>Average Batch Pasteurizer Vat Combo</t>
  </si>
  <si>
    <t>Vat Pastuerizer</t>
  </si>
  <si>
    <t>In-Line Pasteurizer</t>
  </si>
  <si>
    <t>Wash Station</t>
  </si>
  <si>
    <t>Additonal Processing Equipment:  If you want the following equipment, either enter a quote cost or leave the inputted average. If you do not plan to have one of these equipment costs, then please replace the cost with 0. Cost represents 1 item, if you have multiple bulk tanks, then add total cost for all</t>
  </si>
  <si>
    <t>Raw Milk Testing Equipment</t>
  </si>
  <si>
    <t>Antibiotic Testing</t>
  </si>
  <si>
    <t>Milk Quality Testing</t>
  </si>
  <si>
    <t>SCC Testing</t>
  </si>
  <si>
    <t>Raw Milk Prepping</t>
  </si>
  <si>
    <t>Vat Pasteurizer</t>
  </si>
  <si>
    <t>Separator</t>
  </si>
  <si>
    <t>Cleaning</t>
  </si>
  <si>
    <t>Clean-in-Place/Clean-out-of-Place</t>
  </si>
  <si>
    <t>Dishwasher/Sink</t>
  </si>
  <si>
    <t>Other General Equipment</t>
  </si>
  <si>
    <t>Air Flow and Cooling</t>
  </si>
  <si>
    <t>Bulk Tanks</t>
  </si>
  <si>
    <t>Chart Recorders</t>
  </si>
  <si>
    <t>Chillers</t>
  </si>
  <si>
    <t>Compressors and Condensers</t>
  </si>
  <si>
    <t>Enviornmental Heating</t>
  </si>
  <si>
    <t>Fridge</t>
  </si>
  <si>
    <t>Heater</t>
  </si>
  <si>
    <t>Holding Tank</t>
  </si>
  <si>
    <t>Ice Maker</t>
  </si>
  <si>
    <t>Ingredients</t>
  </si>
  <si>
    <t>Mixer</t>
  </si>
  <si>
    <t>Pump</t>
  </si>
  <si>
    <t>Supplemental</t>
  </si>
  <si>
    <t>Water Conditioner</t>
  </si>
  <si>
    <t>Water Heater</t>
  </si>
  <si>
    <t>Work Tables</t>
  </si>
  <si>
    <t>Packaging</t>
  </si>
  <si>
    <t>Conveyor</t>
  </si>
  <si>
    <t>Conveyor Accessories</t>
  </si>
  <si>
    <t>Labeler</t>
  </si>
  <si>
    <t>Labeler Accessories</t>
  </si>
  <si>
    <t>Packaging Accessories</t>
  </si>
  <si>
    <t>Packaging Machine</t>
  </si>
  <si>
    <t>Scales</t>
  </si>
  <si>
    <t>Test Packaging</t>
  </si>
  <si>
    <t>Wax Tank</t>
  </si>
  <si>
    <t>Other</t>
  </si>
  <si>
    <t>Delivery</t>
  </si>
  <si>
    <t>Shipping and Handling</t>
  </si>
  <si>
    <t>Maintenance</t>
  </si>
  <si>
    <t>Marketing</t>
  </si>
  <si>
    <t>Milk Quality and Product Testing</t>
  </si>
  <si>
    <t>Professionals</t>
  </si>
  <si>
    <t>Retail</t>
  </si>
  <si>
    <t>Software</t>
  </si>
  <si>
    <t>Storage</t>
  </si>
  <si>
    <t>Refridgerator System</t>
  </si>
  <si>
    <t>Date Sprayer</t>
  </si>
  <si>
    <t>Other Equipment 1</t>
  </si>
  <si>
    <t>Other Equipment 2</t>
  </si>
  <si>
    <t>Other Equipment 3</t>
  </si>
  <si>
    <t>Other Equipment 4</t>
  </si>
  <si>
    <t>Other Equipment 5</t>
  </si>
  <si>
    <t>Other Equipment 6</t>
  </si>
  <si>
    <t>Other Equipment 7</t>
  </si>
  <si>
    <t>Other Equipment 8</t>
  </si>
  <si>
    <t>Other Equipment 9</t>
  </si>
  <si>
    <t>Other Equipment 10</t>
  </si>
  <si>
    <t>Debt Financing</t>
  </si>
  <si>
    <t>Interest Rate</t>
  </si>
  <si>
    <t>Duration of Loan (years)</t>
  </si>
  <si>
    <t>Down Payment Percent</t>
  </si>
  <si>
    <t>Amount to Finance of Construction and Equipment?</t>
  </si>
  <si>
    <t>To clear the Inputs screen's values, press the clear button.</t>
  </si>
  <si>
    <t>Once done entering data, click the next page button.</t>
  </si>
  <si>
    <t>Average production per cow per day</t>
  </si>
  <si>
    <t>Average fat%</t>
  </si>
  <si>
    <t>Raw Milk to Cheese Yields (%)</t>
  </si>
  <si>
    <t>Reference Cheese</t>
  </si>
  <si>
    <t>Standard Cheese Yields</t>
  </si>
  <si>
    <t>Standard Aging Times</t>
  </si>
  <si>
    <t>Reference Examples</t>
  </si>
  <si>
    <t>Related Costs cont.</t>
  </si>
  <si>
    <t>Annual Utilities: electric, water, sewage, gas</t>
  </si>
  <si>
    <t>Annual Other: trash, packaging, cleaning, processing, etc.</t>
  </si>
  <si>
    <t>Suggested Price Adjustments based on Retail Market Values (Mo and Year)</t>
  </si>
  <si>
    <t>Avg. Price 
per lb</t>
  </si>
  <si>
    <t>Major Bottling Equipment</t>
  </si>
  <si>
    <t>Major Bottling Equipment cont.</t>
  </si>
  <si>
    <t>Additional Processing Equipment</t>
  </si>
  <si>
    <t>Clean-In-Place/Clean-Out-Of-Place</t>
  </si>
  <si>
    <t>Additional Processing Equipment cont.</t>
  </si>
  <si>
    <t>Other General Equipment cont.</t>
  </si>
  <si>
    <t>Annual Cost</t>
  </si>
  <si>
    <t>Your CWT Processed</t>
  </si>
  <si>
    <t>Cost per CWT</t>
  </si>
  <si>
    <t>Benchmark Cost per CWT for TN Farmstead Dairies</t>
  </si>
  <si>
    <t>Electric</t>
  </si>
  <si>
    <t>Water</t>
  </si>
  <si>
    <t>Gas</t>
  </si>
  <si>
    <t>Total Utilities Cost Per CWT</t>
  </si>
  <si>
    <t>Trash</t>
  </si>
  <si>
    <t>Packaging Supplies</t>
  </si>
  <si>
    <t>Cleaning Supplies</t>
  </si>
  <si>
    <t>Processing Supplies</t>
  </si>
  <si>
    <t>Insurance</t>
  </si>
  <si>
    <t>Distribution Fees</t>
  </si>
  <si>
    <t>Phone</t>
  </si>
  <si>
    <t>Transportation</t>
  </si>
  <si>
    <t>Internet</t>
  </si>
  <si>
    <t>Website</t>
  </si>
  <si>
    <t>Other Cost 1</t>
  </si>
  <si>
    <t>Other Cost 2</t>
  </si>
  <si>
    <t>Other Cost 3</t>
  </si>
  <si>
    <t>Total Other Cost Per CWT</t>
  </si>
  <si>
    <t xml:space="preserve">Do Not Touch: </t>
  </si>
  <si>
    <t>Processing Facility Size Calculation</t>
  </si>
  <si>
    <t>per lb</t>
  </si>
  <si>
    <t>Aging Room Size Calculation</t>
  </si>
  <si>
    <t>per cwt</t>
  </si>
  <si>
    <t>Aging room cost Calculation</t>
  </si>
  <si>
    <t>with inflation rate of 3.7% from https://edzarenski.com/2024/01/17/construction-inflation-2024/</t>
  </si>
  <si>
    <t>sqft cost</t>
  </si>
  <si>
    <t>Bouma</t>
  </si>
  <si>
    <t>Pepper</t>
  </si>
  <si>
    <t>Zaring Survey</t>
  </si>
  <si>
    <t>total cost average from our survey</t>
  </si>
  <si>
    <t>becker et al 2007</t>
  </si>
  <si>
    <t>Becker et al 2007 50 cows</t>
  </si>
  <si>
    <t>Becker et al., 2007 500 cows</t>
  </si>
  <si>
    <t>This 'Outputs' sheet shows how much of each milk type you can produce and your potential to grow processing capacity based on equipment package option. It calculates how many pounds of milk you need to process daily to meet your selected processing percentages.</t>
  </si>
  <si>
    <t>Cheese Type and Quantity Amounts:</t>
  </si>
  <si>
    <t>Cheese Type</t>
  </si>
  <si>
    <t>Lbs/Day At Full Production Capacity</t>
  </si>
  <si>
    <t xml:space="preserve">Growth Capacity - Based on Highest Capacity Used </t>
  </si>
  <si>
    <t>Capacity Utilized</t>
  </si>
  <si>
    <t>Can Grow APD By</t>
  </si>
  <si>
    <t>Can Add Extra Animals</t>
  </si>
  <si>
    <t>Production Limiting Equipment</t>
  </si>
  <si>
    <t>Max Lbs to Produce Per Day</t>
  </si>
  <si>
    <t>Percent of Herd's Milk Used</t>
  </si>
  <si>
    <t xml:space="preserve">To see more details about the decision tool outputs, reference suggested equipment combinations on the 'Suggested Equipment' sheet and the full list of all equipements used in this tool, sorted by processing time, on the 'Equipment List' Sheet. </t>
  </si>
  <si>
    <t>To save a personalized and printable report of this decision tool, click the button below. This will allow you to select where to save the PDF report and automatically open it. The report will contain a printout of the 'Inputs' page, this 'Outputs' page, the 'Suggested Equipment' page, and the 'Equipment List' page.</t>
  </si>
  <si>
    <t>Click the button below to return to the instructions sheet.</t>
  </si>
  <si>
    <t xml:space="preserve">This 'Suggested Equipment' sheet reports your selected equipment. It shows total cost, processing time (not including cleanup time), payback period (years to breakeven), net present value (NPV), and internal rate of return (IRR). Payback period represents the number of years it will take to overcome the initial investment cost and begin to return a profit. Net present value represents the total value of your investment over time, in other words, how much more you would earn compared to the alternative (not processing). Internal rate of return tells you how fast your money is expected to grow with the investment in a cheese processing operation. Lower payback period and larger net present values and internal rate of returns are best. </t>
  </si>
  <si>
    <t>**Total Time does not include cleanup time**</t>
  </si>
  <si>
    <t>***Anything over 100% capacity utilized, means you have used more than your equipment can handle</t>
  </si>
  <si>
    <t>Quoted Equipment List</t>
  </si>
  <si>
    <t>Equipment Description</t>
  </si>
  <si>
    <t>Equipment Cost</t>
  </si>
  <si>
    <t>Time Required</t>
  </si>
  <si>
    <t>Extra Capacity in lbs/animals/day</t>
  </si>
  <si>
    <t>Extra Capacity in animals</t>
  </si>
  <si>
    <t>Cheese Piercer</t>
  </si>
  <si>
    <t>Curd Distributor</t>
  </si>
  <si>
    <t>Slicer</t>
  </si>
  <si>
    <t>Combination Vat Pasteurizer and Cheese Vat</t>
  </si>
  <si>
    <t>Total Equipment Cost</t>
  </si>
  <si>
    <t>Payback Period</t>
  </si>
  <si>
    <t>Added Cost from Equipment Selected on Inputs Page</t>
  </si>
  <si>
    <t>Net Present Value</t>
  </si>
  <si>
    <t>Total Investment Cost (equipment plus building)</t>
  </si>
  <si>
    <t>Internal Rate of Return</t>
  </si>
  <si>
    <t>Total Processing Time (that can be calculated)</t>
  </si>
  <si>
    <t xml:space="preserve">This 'Suggested Equipment' sheet compares four equipment packages: your choice list from the inputs sheet, the most efficient combination, the most economical combination, and a basic pasteurizer and bottler combination. For each, it shows total cost, processing time (not including cleanup time), payback period (years to breakeven), net present value (NPV), and internal rate of return (IRR). Payback period represents the number of years it will take to overcome the initial investment cost and begin to return a profit. Net present value represents the total value of your investment over time, in other words, how much more you would earn compared to the alternative (not processing). Internal rate of return tells you how fast your money is expected to grow with the investment in a bottled milk operation. Lower payback period and larger net present values and internal rate of returns are best. </t>
  </si>
  <si>
    <t>*Total Time does not include cleanup time</t>
  </si>
  <si>
    <t>*Anything over 100% capacity utilized, means you have used more than your equipment can handle</t>
  </si>
  <si>
    <t>This 'Equipment List' sheet presents all available equipment used in this tool, sorted from shortest to longest run-times (where data exists). It includes estimated cost as well as processing and growth capacities.</t>
  </si>
  <si>
    <t>Total Run Time</t>
  </si>
  <si>
    <t>Extra Capacity (Lbs per Animal)</t>
  </si>
  <si>
    <t>Extra Capacity (animals)</t>
  </si>
  <si>
    <t>Cheese Press</t>
  </si>
  <si>
    <t>Cheese Slicer</t>
  </si>
  <si>
    <t>Cheese Stretcher</t>
  </si>
  <si>
    <t>In-Line Pastuerizers</t>
  </si>
  <si>
    <t>This 'Equipment List' sheet presents all available pasteurizers, separators, homogenizers, and bottlers used in this tool, sorted from shortest to longest run-times (where data exists). It includes estimated cost as well as processing and growth capacities.</t>
  </si>
  <si>
    <t>Inputs</t>
  </si>
  <si>
    <t>Herdsize - All Cows</t>
  </si>
  <si>
    <t>right now, do for 24 hour period</t>
  </si>
  <si>
    <t>No</t>
  </si>
  <si>
    <t>Average production per cow</t>
  </si>
  <si>
    <t>need to complete: cost, comp utilized, extra lbs, extra animals</t>
  </si>
  <si>
    <t>How many months do you milk each year</t>
  </si>
  <si>
    <t>Outputs</t>
  </si>
  <si>
    <t>Total Outputs lbs</t>
  </si>
  <si>
    <t>Raw in Gallons</t>
  </si>
  <si>
    <t>lbs per year</t>
  </si>
  <si>
    <t>Herd Raw</t>
  </si>
  <si>
    <t>lbs per day</t>
  </si>
  <si>
    <t>Process Raw</t>
  </si>
  <si>
    <t>gal per year</t>
  </si>
  <si>
    <t>No more options with less than 8 hours of total pastuerization time</t>
  </si>
  <si>
    <t>gal per day</t>
  </si>
  <si>
    <t>Capacity Utilization = (Actual Output / Maximum Potential Output) x 100</t>
  </si>
  <si>
    <t>Not enough data to calculate</t>
  </si>
  <si>
    <t>kg per year</t>
  </si>
  <si>
    <t>No Reported Values</t>
  </si>
  <si>
    <t>kg per day</t>
  </si>
  <si>
    <t>liter per year</t>
  </si>
  <si>
    <t>liter per day</t>
  </si>
  <si>
    <t>*total pasteurization time is 45 min to warm, 30 min to pasteurize, 45 min to cool</t>
  </si>
  <si>
    <t>Pasteurizers</t>
  </si>
  <si>
    <t>take off dollar per hour and look based on total past time per hour (on 6 hr basis). Would we factor in bottle times?</t>
  </si>
  <si>
    <t>Vat Pasteurizers</t>
  </si>
  <si>
    <t>Gallons per hour</t>
  </si>
  <si>
    <t>Runs/Day</t>
  </si>
  <si>
    <t>Hours Needed</t>
  </si>
  <si>
    <t>Equipment $</t>
  </si>
  <si>
    <t>Percent Left to Use</t>
  </si>
  <si>
    <t>extra lbs that can be processed to maximize equip</t>
  </si>
  <si>
    <t>lbs extra per animal</t>
  </si>
  <si>
    <t>extra animals</t>
  </si>
  <si>
    <t>Time Needed to Complete</t>
  </si>
  <si>
    <t>max capacity in lbs</t>
  </si>
  <si>
    <t>MicroDairy Designs (4 gal. capacity)</t>
  </si>
  <si>
    <t>MicroDairy Designs (15 gal. capacity)</t>
  </si>
  <si>
    <t>MicroDairy Designs (30 gal. capacity)</t>
  </si>
  <si>
    <t>MicroDairy Designs (45 gal. capacity)</t>
  </si>
  <si>
    <t>MicroDairy Designs (60 gal. capacity)</t>
  </si>
  <si>
    <t>MicroDairy Designs (99 gal. capacity)</t>
  </si>
  <si>
    <t>ANCO Equipment (200 gal. capacity)</t>
  </si>
  <si>
    <t>ANCO Equipment (300 gal. capacity)</t>
  </si>
  <si>
    <t>ANCO Equipment (400 gal. capacity)</t>
  </si>
  <si>
    <t>ANCO Equipment (500 gal. capcity)</t>
  </si>
  <si>
    <t>ANCO Equipment (600 gal. capacity)</t>
  </si>
  <si>
    <t>ANCO Equipment (800 gal. capacity)</t>
  </si>
  <si>
    <t>ANCO Equipment (1000 gal. capacity)</t>
  </si>
  <si>
    <t>ANCO Equipment (1200 gal. capacity)</t>
  </si>
  <si>
    <t>**pick one level above what you need to ensure room to grow**</t>
  </si>
  <si>
    <t>ANCO Equipment (1500 gal. capacity)</t>
  </si>
  <si>
    <t>ANCO Equipment (2000 gal. capacity)</t>
  </si>
  <si>
    <t>Quoted Vat Pasteurizer</t>
  </si>
  <si>
    <t>Average Vat Pasteurizer</t>
  </si>
  <si>
    <t>HTST/UHT  (Gal./hr)</t>
  </si>
  <si>
    <t>In-line Pasteurizer 100 gal/hr</t>
  </si>
  <si>
    <t>In-line Pasteurizer 200 gal/hr</t>
  </si>
  <si>
    <t>In-line Pasteurizer 500 gal/hr</t>
  </si>
  <si>
    <t>In-line Pasteurizer 1000 gal/hr</t>
  </si>
  <si>
    <t>In-line Pasteurizer 1500 gal/hr</t>
  </si>
  <si>
    <t>In-line Pasteurizer 2000 gal/hr</t>
  </si>
  <si>
    <t>In-line Pasteurizer 2500 gal/hr</t>
  </si>
  <si>
    <t>In-line Pasteurizer 3000 gal/hr</t>
  </si>
  <si>
    <t>In-line Pasteurizer 3500 gal/hr</t>
  </si>
  <si>
    <t>**small side one bottle basic tech capper tech…not high speed</t>
  </si>
  <si>
    <t>Quoted In-Line Pasteurizer</t>
  </si>
  <si>
    <t>start</t>
  </si>
  <si>
    <t>Average In-Line Pasteurizer</t>
  </si>
  <si>
    <t>finish</t>
  </si>
  <si>
    <t>Open Cheese Vat</t>
  </si>
  <si>
    <t>ANCO Open Cheese Vat 100 Gal/860 Lbs</t>
  </si>
  <si>
    <t>ANCO Open Cheese Vat 200 Gal/1720 Lbs</t>
  </si>
  <si>
    <t>ANCO Open Cheese Vat 300 Gal/2580 Lbs</t>
  </si>
  <si>
    <t xml:space="preserve">model block: filler and capper </t>
  </si>
  <si>
    <t>ANCO Open Cheese Vat 400 Gal/3440 Lbs</t>
  </si>
  <si>
    <t>ANCO Open Cheese Vat 500 Gal/4300 Lbs</t>
  </si>
  <si>
    <t>ANCO Open Cheese Vat 600 Gal/5160 Lbs</t>
  </si>
  <si>
    <t>ANCO Open Cheese Vat 800 Gal/6880 Lbs</t>
  </si>
  <si>
    <t>ANCO Open Cheese Vat 1000 Gal/8600 Lbs</t>
  </si>
  <si>
    <t>ANCO Open Cheese Vat 1200 Gal/10320 Lbs</t>
  </si>
  <si>
    <t>ANCO Open Cheese Vat 1500 Gal/12900 Lbs</t>
  </si>
  <si>
    <t>ANCO Open Cheese Vat 2000 Gal/17200 Lbs</t>
  </si>
  <si>
    <t>Quoted Open Cheese Vat</t>
  </si>
  <si>
    <t>Open Top Batch Pasteurizer (pastuerizer and cheese vat combo)</t>
  </si>
  <si>
    <t>ANCO Open Top Batch Pasteurizer 50 Gal</t>
  </si>
  <si>
    <t>ANCO Open Top Batch Pasteurizer 50 Gal with PMO accessories</t>
  </si>
  <si>
    <t>ANCO Open Top Batch Pasteurizer 100 Gal</t>
  </si>
  <si>
    <t>ANCO Open Top Batch Pasteurizer 100 Gal with PMO accessories</t>
  </si>
  <si>
    <t>ANCO Open Top Batch Pasteurizer 150 Gal</t>
  </si>
  <si>
    <t>ANCO Open Top Batch Pasteurizer 150 Gal with PMO accessories</t>
  </si>
  <si>
    <t>ANCO Open Top Batch Pasteurizer 200 Gal</t>
  </si>
  <si>
    <t>ANCO Open Top Batch Pasteurizer 200 Gal with PMO accessories</t>
  </si>
  <si>
    <t>ANCO Open Top Batch Pasteurizer 250 Gal</t>
  </si>
  <si>
    <t>pints</t>
  </si>
  <si>
    <t>ANCO Open Top Batch Pasteurizer 250 Gal with PMO accessories</t>
  </si>
  <si>
    <t>gallons</t>
  </si>
  <si>
    <t>ANCO Open Top Batch Pasteurizer 300 Gal</t>
  </si>
  <si>
    <t>gallon to liter</t>
  </si>
  <si>
    <t>ANCO Open Top Batch Pasteurizer 300 Gal with PMO accessories</t>
  </si>
  <si>
    <t>pints to liters</t>
  </si>
  <si>
    <t>Quoted Batch Pasteurizer Vat Combo</t>
  </si>
  <si>
    <t>ANCO Single Head Vertical A-Frame Cheese Press</t>
  </si>
  <si>
    <t>ANCO 2-Head Vertical A-Frame Cheese Press</t>
  </si>
  <si>
    <t>ANCO 4-Head Vertical A-Frame Cheese Press</t>
  </si>
  <si>
    <t>ANCO 6-Head Vertical A-Frame Cheese Press</t>
  </si>
  <si>
    <t>ANCO 8-Head Vertical A-Frame Cheese Press</t>
  </si>
  <si>
    <t>ANCO 10-Head Vertical A-Frame Cheese Press</t>
  </si>
  <si>
    <t>ANCO Single Head Table Cheese Press</t>
  </si>
  <si>
    <t>ANCO 2-Head Table Cheese Press</t>
  </si>
  <si>
    <t>ANCO 4-Head Table Cheese Press</t>
  </si>
  <si>
    <t>Quoted Cheese Press</t>
  </si>
  <si>
    <t>Quoted Wash Station</t>
  </si>
  <si>
    <t>Average Wash Station</t>
  </si>
  <si>
    <t>Quoted Brine Tank</t>
  </si>
  <si>
    <t>Average Brine Tank</t>
  </si>
  <si>
    <t>Quoted Brushing Machine</t>
  </si>
  <si>
    <t>Average Brushing Machine</t>
  </si>
  <si>
    <t>Quoted Cheese Piercer</t>
  </si>
  <si>
    <t>Average Cheese Piercer</t>
  </si>
  <si>
    <t>Quoted Curd Distributors</t>
  </si>
  <si>
    <t>Drain Tables</t>
  </si>
  <si>
    <t>Quoted Drain Table</t>
  </si>
  <si>
    <t>Quoted Molds</t>
  </si>
  <si>
    <t>Quoted Slicers</t>
  </si>
  <si>
    <t>Smokers</t>
  </si>
  <si>
    <t>Quoted Smoker</t>
  </si>
  <si>
    <t>Average Smoker</t>
  </si>
  <si>
    <t>Stretchers</t>
  </si>
  <si>
    <t>Quoted Stretchers</t>
  </si>
  <si>
    <t>Average Stretchers</t>
  </si>
  <si>
    <t>Quoted Aging Room Env. Controls</t>
  </si>
  <si>
    <t>Quoted Aging Room Storage</t>
  </si>
  <si>
    <t>base equipment cost</t>
  </si>
  <si>
    <t>Year 0 (investment year)</t>
  </si>
  <si>
    <t>Year 1</t>
  </si>
  <si>
    <t>Year 2</t>
  </si>
  <si>
    <t>Year 3</t>
  </si>
  <si>
    <t>Year 4</t>
  </si>
  <si>
    <t>Year 5</t>
  </si>
  <si>
    <t>Year 6</t>
  </si>
  <si>
    <t>Year 7</t>
  </si>
  <si>
    <t>Year 8</t>
  </si>
  <si>
    <t>Year 9</t>
  </si>
  <si>
    <t>Year 10</t>
  </si>
  <si>
    <t>Year 11</t>
  </si>
  <si>
    <t>Year 12</t>
  </si>
  <si>
    <t>Year 13</t>
  </si>
  <si>
    <t>Year 14</t>
  </si>
  <si>
    <t>Year 15</t>
  </si>
  <si>
    <t>Year 16</t>
  </si>
  <si>
    <t>Year 17</t>
  </si>
  <si>
    <t>Year 18</t>
  </si>
  <si>
    <t>Year 19</t>
  </si>
  <si>
    <t>Year 20</t>
  </si>
  <si>
    <t>Change in Revenue</t>
  </si>
  <si>
    <t>cost to build</t>
  </si>
  <si>
    <t>Product sold (in gallons)</t>
  </si>
  <si>
    <t>Product revenue</t>
  </si>
  <si>
    <t>total investment</t>
  </si>
  <si>
    <t>Opportunity cost of raw product ($/cwt)</t>
  </si>
  <si>
    <t>Value of remaining raw product ($/cwt)</t>
  </si>
  <si>
    <t>Terminal value of equipment</t>
  </si>
  <si>
    <t>Cost of Farmstead Cheese Lost</t>
  </si>
  <si>
    <t>Terminal value of building</t>
  </si>
  <si>
    <t>Total annual change in Revenue</t>
  </si>
  <si>
    <t>Change in Costs</t>
  </si>
  <si>
    <t>**Put this at zero, milk cost, or inputted cost</t>
  </si>
  <si>
    <t>Milk Buy Back from Co-Op</t>
  </si>
  <si>
    <t>Labor ($/year)</t>
  </si>
  <si>
    <t>****create cost inputs, if they enter value, then use that, else use my calculated values</t>
  </si>
  <si>
    <t>Utilities (electric, water, gas)</t>
  </si>
  <si>
    <t>Total cwt</t>
  </si>
  <si>
    <t>Supplies ((trash, packaging, cleaning, processing, other)</t>
  </si>
  <si>
    <t>cwt processed</t>
  </si>
  <si>
    <t>Farm Cost (per CWT)</t>
  </si>
  <si>
    <t>cwt conventional</t>
  </si>
  <si>
    <t>Annual Debt Repayment</t>
  </si>
  <si>
    <t>Others Costs of Production per CWT</t>
  </si>
  <si>
    <t>Total annual increase in costs</t>
  </si>
  <si>
    <t>labor cost</t>
  </si>
  <si>
    <t>Total Raw</t>
  </si>
  <si>
    <t>Revenue from raw milk</t>
  </si>
  <si>
    <t>labor cost = (lbs to process / lbs that can be processed per hour) * total number of employees *( labor rate*1.3 factor increase for benefits [ see bouma])</t>
  </si>
  <si>
    <t>Total Processed</t>
  </si>
  <si>
    <t>cost of producing raw milk</t>
  </si>
  <si>
    <t>Total Conventional</t>
  </si>
  <si>
    <t>Adjusted Processed</t>
  </si>
  <si>
    <t>Gross Annual Increase in Income</t>
  </si>
  <si>
    <t>Net Annual Increase in Income</t>
  </si>
  <si>
    <t>Starting value of all raw product (milk price)</t>
  </si>
  <si>
    <t>Terminal Value</t>
  </si>
  <si>
    <t>Remaining value of raw fluid product (milk price)</t>
  </si>
  <si>
    <t>Year 3+</t>
  </si>
  <si>
    <t>Total Cash Inflow</t>
  </si>
  <si>
    <t>Discount rate</t>
  </si>
  <si>
    <t>Total Cash Outflow</t>
  </si>
  <si>
    <t>Milk price (avg for tn based on dairy gauge)</t>
  </si>
  <si>
    <t>Net Cash Flow</t>
  </si>
  <si>
    <t>Cost to Produce Raw Milk</t>
  </si>
  <si>
    <t>Present Value</t>
  </si>
  <si>
    <t>Debt Variables</t>
  </si>
  <si>
    <t>Investment Length</t>
  </si>
  <si>
    <t>Duration of Loan in Years</t>
  </si>
  <si>
    <t>Amount Financed in %</t>
  </si>
  <si>
    <t>Years to Break Even</t>
  </si>
  <si>
    <t>IRR</t>
  </si>
  <si>
    <t>Down Payment Amount</t>
  </si>
  <si>
    <t>Actual Amount Financed</t>
  </si>
  <si>
    <t>Cash Flow</t>
  </si>
  <si>
    <t>Monthly Payment</t>
  </si>
  <si>
    <t>Year</t>
  </si>
  <si>
    <t>Cumulative Cash Flow</t>
  </si>
  <si>
    <t>Absolute Value of Cumulative Cash Flow</t>
  </si>
  <si>
    <t>Total Interest</t>
  </si>
  <si>
    <t>Total Amount Payed</t>
  </si>
  <si>
    <t xml:space="preserve">Yr 1 </t>
  </si>
  <si>
    <t>Yr 2</t>
  </si>
  <si>
    <t>Yr 3 +</t>
  </si>
  <si>
    <t>Percent Lost in Production</t>
  </si>
  <si>
    <t>Value of Remaining Raw Product</t>
  </si>
  <si>
    <t>Milk Buy Back from Co-Op Cost</t>
  </si>
  <si>
    <t>Cost</t>
  </si>
  <si>
    <t>Percent Yield</t>
  </si>
  <si>
    <t>Percent Total Production</t>
  </si>
  <si>
    <t>Total Revenue</t>
  </si>
  <si>
    <t>Supplies</t>
  </si>
  <si>
    <t>Bloomy Rind (Brie)</t>
  </si>
  <si>
    <t>A(last negative period)</t>
  </si>
  <si>
    <t>3000 gallons a week</t>
  </si>
  <si>
    <t>B(absolute value cumulative value period based on A)</t>
  </si>
  <si>
    <t>150000 per year</t>
  </si>
  <si>
    <t>C(actual cash flow period after A)</t>
  </si>
  <si>
    <t>3 people</t>
  </si>
  <si>
    <t>Costs</t>
  </si>
  <si>
    <t>Actual</t>
  </si>
  <si>
    <t>per CWT</t>
  </si>
  <si>
    <t>Final Amounts</t>
  </si>
  <si>
    <t>mean</t>
  </si>
  <si>
    <t>sd</t>
  </si>
  <si>
    <t>median</t>
  </si>
  <si>
    <t>electric</t>
  </si>
  <si>
    <t>CWT</t>
  </si>
  <si>
    <t>water</t>
  </si>
  <si>
    <t>trash</t>
  </si>
  <si>
    <t>gas</t>
  </si>
  <si>
    <t>packaging</t>
  </si>
  <si>
    <t>total</t>
  </si>
  <si>
    <t>cleaning</t>
  </si>
  <si>
    <t>processing</t>
  </si>
  <si>
    <t>insurance</t>
  </si>
  <si>
    <t>distribution fees</t>
  </si>
  <si>
    <t>phone</t>
  </si>
  <si>
    <t>transportation</t>
  </si>
  <si>
    <t>internet</t>
  </si>
  <si>
    <t>website</t>
  </si>
  <si>
    <t>**translate this to per year</t>
  </si>
  <si>
    <t>Total Revenue Per Year</t>
  </si>
  <si>
    <t>Final Volume of Cheese in CWT</t>
  </si>
  <si>
    <t>Final Volume of Cheese in Lbs</t>
  </si>
  <si>
    <t>***fix to 50% in 5 years***</t>
  </si>
  <si>
    <t>cost</t>
  </si>
  <si>
    <t>percent yield</t>
  </si>
  <si>
    <t>percent total production</t>
  </si>
  <si>
    <t>ratio work up to desired % for first 3 years</t>
  </si>
  <si>
    <t>revenue</t>
  </si>
  <si>
    <t>Cheese Volume in lbs</t>
  </si>
  <si>
    <t>rawCWT processed</t>
  </si>
  <si>
    <t>Cheese Volume in lbs per year</t>
  </si>
  <si>
    <t>cheddar</t>
  </si>
  <si>
    <t>gouda</t>
  </si>
  <si>
    <t>other hard</t>
  </si>
  <si>
    <t>mozarella</t>
  </si>
  <si>
    <t>brie</t>
  </si>
  <si>
    <t>alpine</t>
  </si>
  <si>
    <t>blue cheese</t>
  </si>
  <si>
    <t>other fresh</t>
  </si>
  <si>
    <t>other 1</t>
  </si>
  <si>
    <t>other 2</t>
  </si>
  <si>
    <t>other 3</t>
  </si>
  <si>
    <t>Year 0</t>
  </si>
  <si>
    <t>Cheese Volume in lbs per day</t>
  </si>
  <si>
    <t>Raw milk percent used for each</t>
  </si>
  <si>
    <t>Sum Price</t>
  </si>
  <si>
    <t>Number of Items</t>
  </si>
  <si>
    <t>Average Price Per Lb</t>
  </si>
  <si>
    <t>Rounded $/lb</t>
  </si>
  <si>
    <t>Standard Deviation in Price</t>
  </si>
  <si>
    <t>Rounded SD</t>
  </si>
  <si>
    <t>Min with SD</t>
  </si>
  <si>
    <t>Rounded SD Min</t>
  </si>
  <si>
    <t>Max with SD</t>
  </si>
  <si>
    <t>Rounded SD Max</t>
  </si>
  <si>
    <t>Actual Min</t>
  </si>
  <si>
    <t>Rounded Actual Min</t>
  </si>
  <si>
    <t>Actual Max</t>
  </si>
  <si>
    <t>Rounded Actual Max</t>
  </si>
  <si>
    <t>Actual Median</t>
  </si>
  <si>
    <t>Rounded Actual Median</t>
  </si>
  <si>
    <t>Price Increase Percentage Above Cheddar</t>
  </si>
  <si>
    <t>havarti</t>
  </si>
  <si>
    <t>munster</t>
  </si>
  <si>
    <t>burrata</t>
  </si>
  <si>
    <t>smoked motz</t>
  </si>
  <si>
    <t>Brie</t>
  </si>
  <si>
    <t>gruyere</t>
  </si>
  <si>
    <t>emmenthaler</t>
  </si>
  <si>
    <t>swiss</t>
  </si>
  <si>
    <t>comte</t>
  </si>
  <si>
    <t>feta</t>
  </si>
  <si>
    <t>cojita</t>
  </si>
  <si>
    <t>paneer</t>
  </si>
  <si>
    <t>cream cheese</t>
  </si>
  <si>
    <t>curds</t>
  </si>
  <si>
    <t>***Gouda (include havarti and munster); Mozzarella (include burratta); Alpine (include gruyere, emmenthaler, swiss, comte); Other Fresh (include feta, cojita, paneer, cream cheese, ricotta): Other Hard (include parm, romano, asiago)</t>
  </si>
  <si>
    <t>Brand</t>
  </si>
  <si>
    <t>Price Per Lb</t>
  </si>
  <si>
    <t>Type</t>
  </si>
  <si>
    <t>Store</t>
  </si>
  <si>
    <t>Cave Aged Gruyere</t>
  </si>
  <si>
    <t>Murray's</t>
  </si>
  <si>
    <t>kroger</t>
  </si>
  <si>
    <t>Cello Smoky Pepper Fontina Cheese</t>
  </si>
  <si>
    <t>Emmi</t>
  </si>
  <si>
    <t>Raclette</t>
  </si>
  <si>
    <t>Norseland</t>
  </si>
  <si>
    <t>Brugge Comtesse</t>
  </si>
  <si>
    <t>Columbia</t>
  </si>
  <si>
    <t>Min</t>
  </si>
  <si>
    <t>Mean</t>
  </si>
  <si>
    <t>Max</t>
  </si>
  <si>
    <t>Price Change</t>
  </si>
  <si>
    <t>Butterkase</t>
  </si>
  <si>
    <t>specially selected</t>
  </si>
  <si>
    <t>Jarlsberg</t>
  </si>
  <si>
    <t>Societe</t>
  </si>
  <si>
    <t>havarti, munster</t>
  </si>
  <si>
    <t>Challerhock</t>
  </si>
  <si>
    <t>Ciresa</t>
  </si>
  <si>
    <t>le gruyere cheese</t>
  </si>
  <si>
    <t>aldi</t>
  </si>
  <si>
    <t>Salemville</t>
  </si>
  <si>
    <t>buratta, smoked motz</t>
  </si>
  <si>
    <t>Blue Stilton</t>
  </si>
  <si>
    <t>blue</t>
  </si>
  <si>
    <t>Somerdale</t>
  </si>
  <si>
    <t>Roquefort</t>
  </si>
  <si>
    <t>Savencia</t>
  </si>
  <si>
    <t>gruyere, emmenthaler, swiss, comte</t>
  </si>
  <si>
    <t>Mountain Gorgonzola</t>
  </si>
  <si>
    <t>Champignon</t>
  </si>
  <si>
    <t>Smokehaus Blue</t>
  </si>
  <si>
    <t>emporium selection</t>
  </si>
  <si>
    <t>feta, cojita, paneer, cream cheese, curds</t>
  </si>
  <si>
    <t>Stilton Cheese with Blueberry</t>
  </si>
  <si>
    <t>Guilloteau</t>
  </si>
  <si>
    <t>St. Agur</t>
  </si>
  <si>
    <t>Maple Leaf</t>
  </si>
  <si>
    <t>Cambozola Black Label</t>
  </si>
  <si>
    <t>Beecher's</t>
  </si>
  <si>
    <t>blue cheese crumbles</t>
  </si>
  <si>
    <t>Kerrygold</t>
  </si>
  <si>
    <t>farmstead blue cheese wedge</t>
  </si>
  <si>
    <t>New Bridge</t>
  </si>
  <si>
    <t>blue stilton cheese</t>
  </si>
  <si>
    <t>Marieke</t>
  </si>
  <si>
    <t>BelGioioso</t>
  </si>
  <si>
    <t>Supreme Brie</t>
  </si>
  <si>
    <t>Private Selection</t>
  </si>
  <si>
    <t>Guilloteau Fromager Affinois with Herbs</t>
  </si>
  <si>
    <t>Champlain Valley Creamery</t>
  </si>
  <si>
    <t>Fromage d'Affinois</t>
  </si>
  <si>
    <t>Sach Original</t>
  </si>
  <si>
    <t>St. Angel</t>
  </si>
  <si>
    <t>Beecher's Handmade</t>
  </si>
  <si>
    <t>double crème brie cheese</t>
  </si>
  <si>
    <t>calabro</t>
  </si>
  <si>
    <t>Smoked Cheddar</t>
  </si>
  <si>
    <t>queso campesino</t>
  </si>
  <si>
    <t>Irish Cheddar Cheese</t>
  </si>
  <si>
    <t>English Cheddar Cheese</t>
  </si>
  <si>
    <t>philadelphia</t>
  </si>
  <si>
    <t>Sharp White Cheddar</t>
  </si>
  <si>
    <t>tillamook</t>
  </si>
  <si>
    <t>Mild Cheddar</t>
  </si>
  <si>
    <t>Sartori</t>
  </si>
  <si>
    <t>High Plains Cheddar</t>
  </si>
  <si>
    <t>Pepper Jack</t>
  </si>
  <si>
    <t>Monterey Jack</t>
  </si>
  <si>
    <t>Habenero Jack</t>
  </si>
  <si>
    <t>Dubliner Cheese with Irish Stout</t>
  </si>
  <si>
    <t>Cotswold</t>
  </si>
  <si>
    <t>Horseradish Cheddar</t>
  </si>
  <si>
    <t>Havarti</t>
  </si>
  <si>
    <t>Estate Gouda</t>
  </si>
  <si>
    <t>Wensleydale Cheese</t>
  </si>
  <si>
    <t>Port Salut</t>
  </si>
  <si>
    <t>1000 day aged gouda cheese</t>
  </si>
  <si>
    <t>Burrata</t>
  </si>
  <si>
    <t>mozzarella</t>
  </si>
  <si>
    <t>Barrel Aged Feta</t>
  </si>
  <si>
    <t>Smoked Mozzarella</t>
  </si>
  <si>
    <t>murrays cheese</t>
  </si>
  <si>
    <t>burrata mini mizzarella cheese balls</t>
  </si>
  <si>
    <t>fresh mizzarella ciliegine</t>
  </si>
  <si>
    <t>fresh mozzarella cheese</t>
  </si>
  <si>
    <t>smoked fresh mozzarella ball</t>
  </si>
  <si>
    <t>fresh mozarella cheese</t>
  </si>
  <si>
    <t>marscapone cheese</t>
  </si>
  <si>
    <t>sliced fresh mozzarella cheese</t>
  </si>
  <si>
    <t>fresh mozzarella pearls cheese</t>
  </si>
  <si>
    <t>marinated fresh mozzarella</t>
  </si>
  <si>
    <t>Mascarpone</t>
  </si>
  <si>
    <t>Organic Cream Cheese</t>
  </si>
  <si>
    <t>Organic Paneer</t>
  </si>
  <si>
    <t>Cheese Curds</t>
  </si>
  <si>
    <t xml:space="preserve"> stracciatella</t>
  </si>
  <si>
    <t>ricotta</t>
  </si>
  <si>
    <t>cliegine mozzarella</t>
  </si>
  <si>
    <t>lighly salted mozzarella</t>
  </si>
  <si>
    <t>cotija round</t>
  </si>
  <si>
    <t>brick cream cheese</t>
  </si>
  <si>
    <t>original cream cheese spread</t>
  </si>
  <si>
    <t>Pecorino Romano</t>
  </si>
  <si>
    <t>Parmigiano Reggiano</t>
  </si>
  <si>
    <t>SarVecchio Parmesan</t>
  </si>
  <si>
    <t>Rosemary Asiago and Olive Oil</t>
  </si>
  <si>
    <t>BellaVitano Merlot</t>
  </si>
  <si>
    <t>BellaVitano Espresso</t>
  </si>
  <si>
    <t>BellaVitano Kentucky Bourbon</t>
  </si>
  <si>
    <t>Young Manchego</t>
  </si>
  <si>
    <t>Honey Goat Gouda</t>
  </si>
  <si>
    <t>other hard?</t>
  </si>
  <si>
    <t>most similar to blue</t>
  </si>
  <si>
    <t>Humboldt Fog</t>
  </si>
  <si>
    <t>Cypress Grove</t>
  </si>
  <si>
    <t>goat gouda</t>
  </si>
  <si>
    <t>goat specific</t>
  </si>
  <si>
    <t>Drunken Goat Cheese</t>
  </si>
  <si>
    <t>Mitica</t>
  </si>
  <si>
    <t>other semi-soft?</t>
  </si>
  <si>
    <t>herb goat log</t>
  </si>
  <si>
    <t>vermont creamery</t>
  </si>
  <si>
    <t>other semi soft?</t>
  </si>
  <si>
    <t>Manouri sheep cheese</t>
  </si>
  <si>
    <t>chevre</t>
  </si>
  <si>
    <t>lively run</t>
  </si>
  <si>
    <t>halloumi</t>
  </si>
  <si>
    <t>buffalo mozzarella</t>
  </si>
  <si>
    <t>ricotta di bufala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</si>
</sst>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8" formatCode="&quot;$&quot;#,##0.00_);[Red]\(&quot;$&quot;#,##0.00\)"/>
    <numFmt numFmtId="44" formatCode="_(&quot;$&quot;* #,##0.00_);_(&quot;$&quot;* \(#,##0.00\);_(&quot;$&quot;* &quot;-&quot;??_);_(@_)"/>
    <numFmt numFmtId="43" formatCode="_(* #,##0.00_);_(* \(#,##0.00\);_(* &quot;-&quot;??_);_(@_)"/>
    <numFmt numFmtId="164" formatCode="0.0%"/>
    <numFmt numFmtId="165" formatCode="_(* #,##0_);_(* \(#,##0\);_(* &quot;-&quot;??_);_(@_)"/>
    <numFmt numFmtId="166" formatCode="d\ &quot;day,&quot;\ h\ &quot;hours,&quot;\ m\ &quot;minutes and&quot;\ s\ &quot;seconds&quot;"/>
    <numFmt numFmtId="167" formatCode="d\ &quot;days,&quot;\ h\ &quot;hours,&quot;\ m\ &quot;minutes and&quot;\ s\ &quot;seconds&quot;"/>
    <numFmt numFmtId="168" formatCode="_(&quot;$&quot;* #,##0_);_(&quot;$&quot;* \(#,##0\);_(&quot;$&quot;* &quot;-&quot;??_);_(@_)"/>
    <numFmt numFmtId="169" formatCode="0.0"/>
    <numFmt numFmtId="170" formatCode="&quot;$&quot;#,##0.00"/>
    <numFmt numFmtId="171" formatCode="0.000000000000"/>
    <numFmt numFmtId="172" formatCode="&quot;$&quot;#,##0"/>
    <numFmt numFmtId="173" formatCode="0.000%"/>
  </numFmts>
  <fonts count="27">
    <font>
      <sz val="11"/>
      <color theme="1"/>
      <name val="Calibri"/>
      <family val="2"/>
      <scheme val="minor"/>
    </font>
    <font>
      <sz val="11"/>
      <color theme="1"/>
      <name val="Calibri"/>
      <family val="2"/>
      <scheme val="minor"/>
    </font>
    <font>
      <b/>
      <sz val="11"/>
      <color theme="1"/>
      <name val="Calibri"/>
      <family val="2"/>
      <scheme val="minor"/>
    </font>
    <font>
      <b/>
      <u/>
      <sz val="11"/>
      <color theme="1"/>
      <name val="Calibri"/>
      <family val="2"/>
      <scheme val="minor"/>
    </font>
    <font>
      <b/>
      <i/>
      <sz val="11"/>
      <color theme="1"/>
      <name val="Calibri"/>
      <family val="2"/>
      <scheme val="minor"/>
    </font>
    <font>
      <sz val="8"/>
      <name val="Calibri"/>
      <family val="2"/>
      <scheme val="minor"/>
    </font>
    <font>
      <b/>
      <sz val="10"/>
      <color rgb="FF202124"/>
      <name val="Arial"/>
      <family val="2"/>
    </font>
    <font>
      <sz val="10"/>
      <color rgb="FF4A4A4A"/>
      <name val="Noto Sans"/>
      <family val="2"/>
    </font>
    <font>
      <b/>
      <sz val="10"/>
      <color rgb="FF4A4A4A"/>
      <name val="Noto Sans"/>
      <family val="2"/>
    </font>
    <font>
      <sz val="14"/>
      <color theme="1"/>
      <name val="Calibri"/>
      <family val="2"/>
      <scheme val="minor"/>
    </font>
    <font>
      <i/>
      <sz val="14"/>
      <color theme="1"/>
      <name val="Calibri"/>
      <family val="2"/>
      <scheme val="minor"/>
    </font>
    <font>
      <b/>
      <sz val="14"/>
      <color theme="1"/>
      <name val="Calibri"/>
      <family val="2"/>
      <scheme val="minor"/>
    </font>
    <font>
      <b/>
      <sz val="28"/>
      <color theme="1"/>
      <name val="Calibri"/>
      <family val="2"/>
      <scheme val="minor"/>
    </font>
    <font>
      <sz val="10"/>
      <color theme="1"/>
      <name val="Calibri"/>
      <family val="2"/>
      <scheme val="minor"/>
    </font>
    <font>
      <sz val="9"/>
      <color rgb="FF141414"/>
      <name val="Segoe UI"/>
      <family val="2"/>
    </font>
    <font>
      <b/>
      <sz val="18"/>
      <color theme="1"/>
      <name val="Calibri"/>
      <family val="2"/>
      <scheme val="minor"/>
    </font>
    <font>
      <b/>
      <u/>
      <sz val="14"/>
      <color theme="1"/>
      <name val="Calibri"/>
      <family val="2"/>
      <scheme val="minor"/>
    </font>
    <font>
      <sz val="14"/>
      <color rgb="FFFF0000"/>
      <name val="Calibri"/>
      <family val="2"/>
      <scheme val="minor"/>
    </font>
    <font>
      <b/>
      <i/>
      <sz val="14"/>
      <color theme="1"/>
      <name val="Calibri"/>
      <family val="2"/>
      <scheme val="minor"/>
    </font>
    <font>
      <sz val="14"/>
      <color rgb="FF000000"/>
      <name val="Calibri"/>
      <family val="2"/>
      <scheme val="minor"/>
    </font>
    <font>
      <b/>
      <sz val="10"/>
      <color theme="1"/>
      <name val="Calibri"/>
      <family val="2"/>
      <scheme val="minor"/>
    </font>
    <font>
      <sz val="10"/>
      <color rgb="FFFF0000"/>
      <name val="Calibri"/>
      <family val="2"/>
      <scheme val="minor"/>
    </font>
    <font>
      <i/>
      <sz val="10"/>
      <color theme="1"/>
      <name val="Calibri"/>
      <family val="2"/>
      <scheme val="minor"/>
    </font>
    <font>
      <b/>
      <u/>
      <sz val="10"/>
      <color theme="1"/>
      <name val="Calibri"/>
      <family val="2"/>
      <scheme val="minor"/>
    </font>
    <font>
      <b/>
      <i/>
      <sz val="10"/>
      <color theme="1"/>
      <name val="Calibri"/>
      <family val="2"/>
      <scheme val="minor"/>
    </font>
    <font>
      <sz val="14"/>
      <color theme="0"/>
      <name val="Calibri"/>
      <family val="2"/>
      <scheme val="minor"/>
    </font>
    <font>
      <b/>
      <sz val="14"/>
      <color theme="0"/>
      <name val="Calibri"/>
      <family val="2"/>
      <scheme val="minor"/>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6" tint="0.79998168889431442"/>
        <bgColor indexed="64"/>
      </patternFill>
    </fill>
  </fills>
  <borders count="24">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cellStyleXfs>
  <cellXfs count="612">
    <xf numFmtId="0" fontId="0" fillId="0" borderId="0" xfId="0"/>
    <xf numFmtId="43" fontId="0" fillId="0" borderId="0" xfId="0" applyNumberFormat="1"/>
    <xf numFmtId="9" fontId="0" fillId="0" borderId="0" xfId="0" applyNumberFormat="1"/>
    <xf numFmtId="3" fontId="0" fillId="0" borderId="0" xfId="0" applyNumberFormat="1"/>
    <xf numFmtId="0" fontId="3" fillId="0" borderId="0" xfId="0" applyFont="1"/>
    <xf numFmtId="0" fontId="2" fillId="0" borderId="0" xfId="0" applyFont="1"/>
    <xf numFmtId="2" fontId="0" fillId="0" borderId="0" xfId="0" applyNumberFormat="1"/>
    <xf numFmtId="0" fontId="4" fillId="0" borderId="7" xfId="0" applyFont="1" applyBorder="1"/>
    <xf numFmtId="0" fontId="0" fillId="0" borderId="1" xfId="0" applyBorder="1"/>
    <xf numFmtId="0" fontId="3" fillId="0" borderId="0" xfId="0" applyFont="1" applyAlignment="1">
      <alignment wrapText="1"/>
    </xf>
    <xf numFmtId="0" fontId="3" fillId="0" borderId="2" xfId="0" applyFont="1" applyBorder="1"/>
    <xf numFmtId="0" fontId="0" fillId="0" borderId="6" xfId="0" applyBorder="1"/>
    <xf numFmtId="1" fontId="0" fillId="0" borderId="0" xfId="0" applyNumberFormat="1"/>
    <xf numFmtId="43" fontId="0" fillId="0" borderId="6" xfId="0" applyNumberFormat="1" applyBorder="1"/>
    <xf numFmtId="0" fontId="0" fillId="0" borderId="4" xfId="0" applyBorder="1"/>
    <xf numFmtId="0" fontId="0" fillId="0" borderId="5" xfId="0" applyBorder="1"/>
    <xf numFmtId="0" fontId="0" fillId="0" borderId="7" xfId="0" applyBorder="1"/>
    <xf numFmtId="0" fontId="0" fillId="0" borderId="5" xfId="0" applyBorder="1" applyAlignment="1">
      <alignment horizontal="right"/>
    </xf>
    <xf numFmtId="43" fontId="0" fillId="0" borderId="6" xfId="1" applyFont="1" applyBorder="1"/>
    <xf numFmtId="164" fontId="0" fillId="0" borderId="6" xfId="2" applyNumberFormat="1" applyFont="1" applyBorder="1"/>
    <xf numFmtId="9" fontId="0" fillId="0" borderId="8" xfId="2" applyFont="1" applyBorder="1"/>
    <xf numFmtId="0" fontId="0" fillId="0" borderId="0" xfId="0" applyAlignment="1">
      <alignment horizontal="right"/>
    </xf>
    <xf numFmtId="0" fontId="0" fillId="2" borderId="0" xfId="0" applyFill="1"/>
    <xf numFmtId="43" fontId="0" fillId="2" borderId="0" xfId="0" applyNumberFormat="1" applyFill="1"/>
    <xf numFmtId="44" fontId="0" fillId="0" borderId="0" xfId="0" applyNumberFormat="1"/>
    <xf numFmtId="8" fontId="0" fillId="0" borderId="0" xfId="0" applyNumberFormat="1"/>
    <xf numFmtId="0" fontId="2" fillId="0" borderId="0" xfId="0" applyFont="1" applyAlignment="1">
      <alignment horizontal="right"/>
    </xf>
    <xf numFmtId="44" fontId="0" fillId="0" borderId="0" xfId="3" applyFont="1"/>
    <xf numFmtId="43" fontId="0" fillId="0" borderId="0" xfId="1" applyFont="1"/>
    <xf numFmtId="0" fontId="6" fillId="0" borderId="0" xfId="0" applyFont="1"/>
    <xf numFmtId="0" fontId="0" fillId="0" borderId="12" xfId="0" applyBorder="1" applyAlignment="1">
      <alignment wrapText="1"/>
    </xf>
    <xf numFmtId="0" fontId="0" fillId="0" borderId="12" xfId="0" applyBorder="1" applyAlignment="1">
      <alignment vertical="center" wrapText="1"/>
    </xf>
    <xf numFmtId="0" fontId="0" fillId="0" borderId="15" xfId="0" applyBorder="1"/>
    <xf numFmtId="0" fontId="0" fillId="0" borderId="16" xfId="0" applyBorder="1"/>
    <xf numFmtId="0" fontId="3" fillId="0" borderId="9" xfId="0" applyFont="1" applyBorder="1"/>
    <xf numFmtId="0" fontId="0" fillId="0" borderId="12" xfId="0" applyBorder="1" applyAlignment="1">
      <alignment horizontal="left"/>
    </xf>
    <xf numFmtId="0" fontId="8" fillId="0" borderId="0" xfId="0" applyFont="1" applyAlignment="1">
      <alignment horizontal="left" vertical="center" wrapText="1"/>
    </xf>
    <xf numFmtId="0" fontId="7" fillId="0" borderId="0" xfId="0" applyFont="1" applyAlignment="1">
      <alignment horizontal="left" vertical="center" wrapText="1"/>
    </xf>
    <xf numFmtId="1" fontId="3" fillId="0" borderId="0" xfId="0" applyNumberFormat="1" applyFont="1" applyAlignment="1">
      <alignment wrapText="1"/>
    </xf>
    <xf numFmtId="0" fontId="0" fillId="4" borderId="5" xfId="0" applyFill="1" applyBorder="1"/>
    <xf numFmtId="43" fontId="0" fillId="4" borderId="6" xfId="0" applyNumberFormat="1" applyFill="1" applyBorder="1"/>
    <xf numFmtId="0" fontId="0" fillId="4" borderId="7" xfId="0" applyFill="1" applyBorder="1"/>
    <xf numFmtId="43" fontId="0" fillId="4" borderId="8" xfId="0" applyNumberFormat="1" applyFill="1" applyBorder="1"/>
    <xf numFmtId="170" fontId="0" fillId="0" borderId="0" xfId="0" applyNumberFormat="1"/>
    <xf numFmtId="170" fontId="0" fillId="0" borderId="1" xfId="0" applyNumberFormat="1" applyBorder="1"/>
    <xf numFmtId="0" fontId="0" fillId="0" borderId="12" xfId="0" applyBorder="1"/>
    <xf numFmtId="0" fontId="0" fillId="0" borderId="13" xfId="0" applyBorder="1"/>
    <xf numFmtId="0" fontId="0" fillId="0" borderId="14" xfId="0" applyBorder="1"/>
    <xf numFmtId="1" fontId="0" fillId="0" borderId="15" xfId="0" applyNumberFormat="1" applyBorder="1"/>
    <xf numFmtId="0" fontId="2" fillId="0" borderId="0" xfId="0" applyFont="1" applyAlignment="1">
      <alignment horizontal="center"/>
    </xf>
    <xf numFmtId="170" fontId="0" fillId="0" borderId="0" xfId="3" applyNumberFormat="1" applyFont="1" applyFill="1" applyBorder="1"/>
    <xf numFmtId="44" fontId="0" fillId="0" borderId="0" xfId="3" applyFont="1" applyFill="1"/>
    <xf numFmtId="170" fontId="0" fillId="0" borderId="0" xfId="3" applyNumberFormat="1" applyFont="1" applyFill="1"/>
    <xf numFmtId="0" fontId="0" fillId="0" borderId="2" xfId="0" applyBorder="1"/>
    <xf numFmtId="43" fontId="0" fillId="0" borderId="4" xfId="0" applyNumberFormat="1" applyBorder="1"/>
    <xf numFmtId="43" fontId="0" fillId="0" borderId="8" xfId="0" applyNumberFormat="1" applyBorder="1"/>
    <xf numFmtId="9" fontId="0" fillId="0" borderId="0" xfId="0" applyNumberFormat="1" applyAlignment="1">
      <alignment horizontal="left"/>
    </xf>
    <xf numFmtId="10" fontId="0" fillId="0" borderId="0" xfId="0" applyNumberFormat="1"/>
    <xf numFmtId="9" fontId="0" fillId="0" borderId="0" xfId="2" applyFont="1" applyFill="1"/>
    <xf numFmtId="9" fontId="0" fillId="0" borderId="1" xfId="2" applyFont="1" applyFill="1" applyBorder="1"/>
    <xf numFmtId="2" fontId="0" fillId="0" borderId="0" xfId="3" applyNumberFormat="1" applyFont="1" applyFill="1"/>
    <xf numFmtId="43" fontId="0" fillId="0" borderId="0" xfId="1" applyFont="1" applyFill="1"/>
    <xf numFmtId="0" fontId="0" fillId="0" borderId="0" xfId="0" applyProtection="1">
      <protection locked="0"/>
    </xf>
    <xf numFmtId="0" fontId="0" fillId="0" borderId="0" xfId="0" applyAlignment="1">
      <alignment vertical="center"/>
    </xf>
    <xf numFmtId="0" fontId="9" fillId="0" borderId="0" xfId="0" applyFont="1"/>
    <xf numFmtId="0" fontId="10" fillId="5" borderId="0" xfId="0" applyFont="1" applyFill="1" applyAlignment="1" applyProtection="1">
      <alignment wrapText="1"/>
      <protection locked="0"/>
    </xf>
    <xf numFmtId="0" fontId="0" fillId="0" borderId="17" xfId="0" applyBorder="1"/>
    <xf numFmtId="0" fontId="0" fillId="0" borderId="17" xfId="0" applyBorder="1" applyAlignment="1">
      <alignment horizontal="center" wrapText="1"/>
    </xf>
    <xf numFmtId="0" fontId="0" fillId="8" borderId="17" xfId="0" applyFill="1" applyBorder="1" applyAlignment="1">
      <alignment horizontal="center" wrapText="1"/>
    </xf>
    <xf numFmtId="44" fontId="0" fillId="0" borderId="17" xfId="3" applyFont="1" applyFill="1" applyBorder="1" applyAlignment="1">
      <alignment horizontal="right" vertical="center"/>
    </xf>
    <xf numFmtId="1" fontId="0" fillId="0" borderId="17" xfId="3" applyNumberFormat="1" applyFont="1" applyFill="1" applyBorder="1" applyAlignment="1">
      <alignment horizontal="right" vertical="center"/>
    </xf>
    <xf numFmtId="44" fontId="0" fillId="0" borderId="17" xfId="0" applyNumberFormat="1" applyBorder="1" applyAlignment="1">
      <alignment horizontal="right" vertical="center"/>
    </xf>
    <xf numFmtId="44" fontId="0" fillId="8" borderId="17" xfId="0" applyNumberFormat="1" applyFill="1" applyBorder="1" applyAlignment="1">
      <alignment horizontal="right" vertical="center"/>
    </xf>
    <xf numFmtId="44" fontId="0" fillId="8" borderId="17" xfId="3" applyFont="1" applyFill="1" applyBorder="1" applyAlignment="1">
      <alignment horizontal="right" vertical="center"/>
    </xf>
    <xf numFmtId="0" fontId="0" fillId="0" borderId="17" xfId="0" applyBorder="1" applyAlignment="1">
      <alignment horizontal="right" vertical="center"/>
    </xf>
    <xf numFmtId="9" fontId="0" fillId="0" borderId="17" xfId="2" applyFont="1" applyFill="1" applyBorder="1" applyAlignment="1">
      <alignment horizontal="right" vertical="center"/>
    </xf>
    <xf numFmtId="0" fontId="2" fillId="0" borderId="17" xfId="0" applyFont="1" applyBorder="1" applyAlignment="1">
      <alignment horizontal="center"/>
    </xf>
    <xf numFmtId="44" fontId="0" fillId="0" borderId="17" xfId="3" applyFont="1" applyBorder="1"/>
    <xf numFmtId="0" fontId="14" fillId="0" borderId="0" xfId="0" applyFont="1"/>
    <xf numFmtId="44" fontId="0" fillId="0" borderId="0" xfId="3" applyFont="1" applyFill="1" applyBorder="1"/>
    <xf numFmtId="9" fontId="0" fillId="0" borderId="0" xfId="2" applyFont="1" applyFill="1" applyBorder="1"/>
    <xf numFmtId="9" fontId="0" fillId="0" borderId="0" xfId="2" applyFont="1" applyFill="1" applyBorder="1" applyAlignment="1">
      <alignment vertical="center"/>
    </xf>
    <xf numFmtId="0" fontId="9" fillId="6" borderId="0" xfId="0" applyFont="1" applyFill="1" applyProtection="1">
      <protection locked="0"/>
    </xf>
    <xf numFmtId="0" fontId="9" fillId="2" borderId="0" xfId="0" applyFont="1" applyFill="1"/>
    <xf numFmtId="0" fontId="10" fillId="7" borderId="0" xfId="0" applyFont="1" applyFill="1" applyAlignment="1" applyProtection="1">
      <alignment wrapText="1"/>
      <protection locked="0"/>
    </xf>
    <xf numFmtId="0" fontId="15" fillId="7" borderId="0" xfId="0" applyFont="1" applyFill="1" applyAlignment="1" applyProtection="1">
      <alignment wrapText="1"/>
      <protection locked="0"/>
    </xf>
    <xf numFmtId="0" fontId="10" fillId="7" borderId="0" xfId="0" applyFont="1" applyFill="1" applyAlignment="1" applyProtection="1">
      <alignment horizontal="center" wrapText="1"/>
      <protection locked="0"/>
    </xf>
    <xf numFmtId="9" fontId="0" fillId="2" borderId="0" xfId="2" applyFont="1" applyFill="1" applyProtection="1"/>
    <xf numFmtId="9" fontId="9" fillId="6" borderId="0" xfId="2" applyFont="1" applyFill="1" applyBorder="1" applyAlignment="1" applyProtection="1">
      <alignment horizontal="center"/>
    </xf>
    <xf numFmtId="2" fontId="9" fillId="2" borderId="0" xfId="0" applyNumberFormat="1" applyFont="1" applyFill="1"/>
    <xf numFmtId="0" fontId="10" fillId="5" borderId="0" xfId="0" applyFont="1" applyFill="1" applyAlignment="1" applyProtection="1">
      <alignment horizontal="center" wrapText="1"/>
      <protection locked="0"/>
    </xf>
    <xf numFmtId="0" fontId="9" fillId="2" borderId="5" xfId="0" applyFont="1" applyFill="1" applyBorder="1"/>
    <xf numFmtId="0" fontId="9" fillId="2" borderId="7" xfId="0" applyFont="1" applyFill="1" applyBorder="1"/>
    <xf numFmtId="0" fontId="9" fillId="2" borderId="0" xfId="0" applyFont="1" applyFill="1" applyAlignment="1">
      <alignment horizontal="center"/>
    </xf>
    <xf numFmtId="0" fontId="9" fillId="2" borderId="0" xfId="0" applyFont="1" applyFill="1" applyAlignment="1">
      <alignment horizontal="center" vertical="top" wrapText="1"/>
    </xf>
    <xf numFmtId="0" fontId="9" fillId="2" borderId="0" xfId="0" applyFont="1" applyFill="1" applyAlignment="1">
      <alignment vertical="top" wrapText="1"/>
    </xf>
    <xf numFmtId="170" fontId="9" fillId="2" borderId="0" xfId="3" applyNumberFormat="1" applyFont="1" applyFill="1" applyBorder="1" applyAlignment="1">
      <alignment horizontal="center"/>
    </xf>
    <xf numFmtId="170" fontId="9" fillId="2" borderId="0" xfId="3" applyNumberFormat="1" applyFont="1" applyFill="1" applyBorder="1"/>
    <xf numFmtId="170" fontId="9" fillId="2" borderId="0" xfId="0" applyNumberFormat="1" applyFont="1" applyFill="1"/>
    <xf numFmtId="44" fontId="9" fillId="2" borderId="0" xfId="3" applyFont="1" applyFill="1" applyBorder="1"/>
    <xf numFmtId="44" fontId="9" fillId="2" borderId="6" xfId="3" applyFont="1" applyFill="1" applyBorder="1"/>
    <xf numFmtId="44" fontId="9" fillId="2" borderId="0" xfId="0" applyNumberFormat="1" applyFont="1" applyFill="1"/>
    <xf numFmtId="44" fontId="9" fillId="2" borderId="1" xfId="3" applyFont="1" applyFill="1" applyBorder="1"/>
    <xf numFmtId="0" fontId="9" fillId="0" borderId="0" xfId="0" applyFont="1" applyAlignment="1">
      <alignment horizontal="center" wrapText="1"/>
    </xf>
    <xf numFmtId="44" fontId="9" fillId="5" borderId="0" xfId="0" applyNumberFormat="1" applyFont="1" applyFill="1"/>
    <xf numFmtId="0" fontId="0" fillId="5" borderId="0" xfId="0" applyFill="1"/>
    <xf numFmtId="0" fontId="3" fillId="5" borderId="9" xfId="0" applyFont="1" applyFill="1" applyBorder="1" applyAlignment="1">
      <alignment wrapText="1"/>
    </xf>
    <xf numFmtId="0" fontId="3" fillId="5" borderId="9" xfId="0" applyFont="1" applyFill="1" applyBorder="1"/>
    <xf numFmtId="9" fontId="10" fillId="7" borderId="0" xfId="2" applyFont="1" applyFill="1" applyAlignment="1" applyProtection="1">
      <alignment wrapText="1"/>
      <protection locked="0"/>
    </xf>
    <xf numFmtId="9" fontId="15" fillId="7" borderId="0" xfId="2" applyFont="1" applyFill="1" applyAlignment="1" applyProtection="1">
      <alignment wrapText="1"/>
      <protection locked="0"/>
    </xf>
    <xf numFmtId="9" fontId="9" fillId="6" borderId="0" xfId="2" applyFont="1" applyFill="1" applyProtection="1">
      <protection locked="0"/>
    </xf>
    <xf numFmtId="2" fontId="10" fillId="7" borderId="0" xfId="0" applyNumberFormat="1" applyFont="1" applyFill="1" applyAlignment="1" applyProtection="1">
      <alignment wrapText="1"/>
      <protection locked="0"/>
    </xf>
    <xf numFmtId="2" fontId="15" fillId="7" borderId="0" xfId="0" applyNumberFormat="1" applyFont="1" applyFill="1" applyAlignment="1" applyProtection="1">
      <alignment wrapText="1"/>
      <protection locked="0"/>
    </xf>
    <xf numFmtId="1" fontId="0" fillId="7" borderId="0" xfId="0" applyNumberFormat="1" applyFill="1" applyProtection="1">
      <protection locked="0"/>
    </xf>
    <xf numFmtId="1" fontId="15" fillId="7" borderId="0" xfId="0" applyNumberFormat="1" applyFont="1" applyFill="1" applyAlignment="1" applyProtection="1">
      <alignment wrapText="1"/>
      <protection locked="0"/>
    </xf>
    <xf numFmtId="0" fontId="0" fillId="0" borderId="0" xfId="0" applyAlignment="1">
      <alignment vertical="center" wrapText="1"/>
    </xf>
    <xf numFmtId="168" fontId="0" fillId="0" borderId="0" xfId="3" applyNumberFormat="1" applyFont="1" applyFill="1"/>
    <xf numFmtId="167" fontId="0" fillId="0" borderId="13" xfId="0" applyNumberFormat="1" applyBorder="1"/>
    <xf numFmtId="2" fontId="0" fillId="0" borderId="0" xfId="2" applyNumberFormat="1" applyFont="1" applyFill="1" applyBorder="1"/>
    <xf numFmtId="2" fontId="0" fillId="0" borderId="13" xfId="0" applyNumberFormat="1" applyBorder="1"/>
    <xf numFmtId="166" fontId="0" fillId="0" borderId="13" xfId="0" applyNumberFormat="1" applyBorder="1"/>
    <xf numFmtId="168" fontId="1" fillId="0" borderId="0" xfId="3" applyNumberFormat="1" applyFont="1" applyFill="1" applyBorder="1"/>
    <xf numFmtId="168" fontId="1" fillId="0" borderId="0" xfId="3" applyNumberFormat="1" applyFont="1" applyFill="1"/>
    <xf numFmtId="43" fontId="0" fillId="0" borderId="0" xfId="0" applyNumberFormat="1" applyAlignment="1">
      <alignment wrapText="1"/>
    </xf>
    <xf numFmtId="168" fontId="0" fillId="0" borderId="0" xfId="3" applyNumberFormat="1" applyFont="1" applyFill="1" applyBorder="1"/>
    <xf numFmtId="2" fontId="0" fillId="0" borderId="15" xfId="2" applyNumberFormat="1" applyFont="1" applyFill="1" applyBorder="1"/>
    <xf numFmtId="2" fontId="0" fillId="0" borderId="15" xfId="0" applyNumberFormat="1" applyBorder="1"/>
    <xf numFmtId="0" fontId="3" fillId="0" borderId="10" xfId="0" applyFont="1" applyBorder="1"/>
    <xf numFmtId="0" fontId="3" fillId="0" borderId="10" xfId="0" applyFont="1" applyBorder="1" applyAlignment="1">
      <alignment wrapText="1"/>
    </xf>
    <xf numFmtId="0" fontId="3" fillId="0" borderId="11" xfId="0" applyFont="1" applyBorder="1"/>
    <xf numFmtId="0" fontId="3" fillId="0" borderId="11" xfId="0" applyFont="1" applyBorder="1" applyAlignment="1">
      <alignment wrapText="1"/>
    </xf>
    <xf numFmtId="43" fontId="0" fillId="0" borderId="15" xfId="0" applyNumberFormat="1" applyBorder="1"/>
    <xf numFmtId="2" fontId="0" fillId="0" borderId="16" xfId="0" applyNumberFormat="1" applyBorder="1"/>
    <xf numFmtId="0" fontId="3" fillId="5" borderId="0" xfId="0" applyFont="1" applyFill="1" applyAlignment="1">
      <alignment wrapText="1"/>
    </xf>
    <xf numFmtId="43" fontId="0" fillId="5" borderId="0" xfId="0" applyNumberFormat="1" applyFill="1" applyAlignment="1">
      <alignment wrapText="1"/>
    </xf>
    <xf numFmtId="1" fontId="0" fillId="5" borderId="0" xfId="0" applyNumberFormat="1" applyFill="1"/>
    <xf numFmtId="44" fontId="9" fillId="2" borderId="0" xfId="3" applyFont="1" applyFill="1" applyBorder="1" applyProtection="1"/>
    <xf numFmtId="9" fontId="9" fillId="2" borderId="0" xfId="2" applyFont="1" applyFill="1" applyBorder="1" applyProtection="1"/>
    <xf numFmtId="2" fontId="9" fillId="2" borderId="0" xfId="3" applyNumberFormat="1" applyFont="1" applyFill="1" applyBorder="1" applyProtection="1"/>
    <xf numFmtId="44" fontId="9" fillId="2" borderId="1" xfId="3" applyFont="1" applyFill="1" applyBorder="1" applyProtection="1"/>
    <xf numFmtId="9" fontId="9" fillId="2" borderId="1" xfId="2" applyFont="1" applyFill="1" applyBorder="1" applyProtection="1"/>
    <xf numFmtId="1" fontId="9" fillId="2" borderId="0" xfId="3" applyNumberFormat="1" applyFont="1" applyFill="1" applyBorder="1" applyProtection="1"/>
    <xf numFmtId="0" fontId="9" fillId="2" borderId="2" xfId="0" applyFont="1" applyFill="1" applyBorder="1"/>
    <xf numFmtId="2" fontId="9" fillId="2" borderId="0" xfId="2" applyNumberFormat="1" applyFont="1" applyFill="1" applyBorder="1" applyProtection="1"/>
    <xf numFmtId="2" fontId="9" fillId="2" borderId="1" xfId="2" applyNumberFormat="1" applyFont="1" applyFill="1" applyBorder="1" applyProtection="1"/>
    <xf numFmtId="1" fontId="9" fillId="2" borderId="6" xfId="2" applyNumberFormat="1" applyFont="1" applyFill="1" applyBorder="1" applyProtection="1"/>
    <xf numFmtId="1" fontId="9" fillId="2" borderId="8" xfId="2" applyNumberFormat="1" applyFont="1" applyFill="1" applyBorder="1" applyProtection="1"/>
    <xf numFmtId="0" fontId="9" fillId="2" borderId="0" xfId="0" applyFont="1" applyFill="1" applyAlignment="1">
      <alignment horizontal="center" wrapText="1"/>
    </xf>
    <xf numFmtId="43" fontId="2" fillId="0" borderId="0" xfId="0" applyNumberFormat="1" applyFont="1"/>
    <xf numFmtId="43" fontId="2" fillId="0" borderId="0" xfId="0" applyNumberFormat="1" applyFont="1" applyAlignment="1">
      <alignment horizontal="center"/>
    </xf>
    <xf numFmtId="43" fontId="0" fillId="0" borderId="0" xfId="0" applyNumberFormat="1" applyAlignment="1">
      <alignment horizontal="center"/>
    </xf>
    <xf numFmtId="2" fontId="0" fillId="0" borderId="0" xfId="0" applyNumberFormat="1" applyAlignment="1">
      <alignment horizontal="center"/>
    </xf>
    <xf numFmtId="9" fontId="0" fillId="0" borderId="0" xfId="2" applyFont="1" applyAlignment="1">
      <alignment horizontal="center"/>
    </xf>
    <xf numFmtId="9" fontId="9" fillId="2" borderId="0" xfId="2" applyFont="1" applyFill="1" applyProtection="1"/>
    <xf numFmtId="43" fontId="9" fillId="2" borderId="3" xfId="0" applyNumberFormat="1" applyFont="1" applyFill="1" applyBorder="1"/>
    <xf numFmtId="44" fontId="9" fillId="2" borderId="3" xfId="3" applyFont="1" applyFill="1" applyBorder="1"/>
    <xf numFmtId="44" fontId="9" fillId="2" borderId="4" xfId="3" applyFont="1" applyFill="1" applyBorder="1"/>
    <xf numFmtId="43" fontId="9" fillId="2" borderId="1" xfId="0" applyNumberFormat="1" applyFont="1" applyFill="1" applyBorder="1"/>
    <xf numFmtId="44" fontId="9" fillId="2" borderId="8" xfId="3" applyFont="1" applyFill="1" applyBorder="1"/>
    <xf numFmtId="43" fontId="9" fillId="2" borderId="0" xfId="0" applyNumberFormat="1" applyFont="1" applyFill="1"/>
    <xf numFmtId="0" fontId="13" fillId="0" borderId="3" xfId="0" applyFont="1" applyBorder="1" applyAlignment="1">
      <alignment vertical="top"/>
    </xf>
    <xf numFmtId="10" fontId="13" fillId="0" borderId="0" xfId="2" applyNumberFormat="1" applyFont="1" applyFill="1" applyBorder="1" applyAlignment="1" applyProtection="1">
      <alignment horizontal="center" vertical="top"/>
      <protection locked="0"/>
    </xf>
    <xf numFmtId="0" fontId="13" fillId="0" borderId="1" xfId="0" applyFont="1" applyBorder="1" applyAlignment="1">
      <alignment vertical="top"/>
    </xf>
    <xf numFmtId="9" fontId="13" fillId="0" borderId="0" xfId="2" applyFont="1" applyFill="1" applyBorder="1" applyAlignment="1" applyProtection="1">
      <alignment horizontal="center" vertical="top"/>
      <protection locked="0"/>
    </xf>
    <xf numFmtId="9" fontId="13" fillId="0" borderId="1" xfId="2" applyFont="1" applyFill="1" applyBorder="1" applyAlignment="1" applyProtection="1">
      <alignment horizontal="center" vertical="top"/>
      <protection locked="0"/>
    </xf>
    <xf numFmtId="44" fontId="13" fillId="0" borderId="0" xfId="3" applyFont="1" applyFill="1" applyBorder="1" applyAlignment="1" applyProtection="1">
      <alignment horizontal="center" vertical="top"/>
      <protection locked="0"/>
    </xf>
    <xf numFmtId="9" fontId="13" fillId="0" borderId="0" xfId="2" applyFont="1" applyFill="1" applyBorder="1" applyAlignment="1" applyProtection="1">
      <alignment vertical="top"/>
    </xf>
    <xf numFmtId="44" fontId="13" fillId="0" borderId="1" xfId="3" applyFont="1" applyFill="1" applyBorder="1" applyAlignment="1" applyProtection="1">
      <alignment horizontal="center" vertical="top"/>
      <protection locked="0"/>
    </xf>
    <xf numFmtId="44" fontId="13" fillId="0" borderId="1" xfId="3" applyFont="1" applyFill="1" applyBorder="1" applyAlignment="1" applyProtection="1">
      <alignment horizontal="right" vertical="top"/>
    </xf>
    <xf numFmtId="44" fontId="13" fillId="0" borderId="0" xfId="3" applyFont="1" applyFill="1" applyBorder="1" applyAlignment="1" applyProtection="1">
      <alignment horizontal="right" vertical="top"/>
    </xf>
    <xf numFmtId="2" fontId="13" fillId="0" borderId="0" xfId="3" applyNumberFormat="1" applyFont="1" applyFill="1" applyBorder="1" applyAlignment="1" applyProtection="1">
      <alignment horizontal="center" vertical="top"/>
      <protection locked="0"/>
    </xf>
    <xf numFmtId="44" fontId="13" fillId="0" borderId="0" xfId="3" applyFont="1" applyFill="1" applyBorder="1" applyAlignment="1" applyProtection="1">
      <alignment horizontal="center" vertical="top" wrapText="1"/>
      <protection locked="0"/>
    </xf>
    <xf numFmtId="44" fontId="13" fillId="0" borderId="1" xfId="3" applyFont="1" applyFill="1" applyBorder="1" applyAlignment="1" applyProtection="1">
      <alignment horizontal="center" vertical="top" wrapText="1"/>
      <protection locked="0"/>
    </xf>
    <xf numFmtId="44" fontId="13" fillId="0" borderId="0" xfId="3" applyFont="1" applyFill="1" applyBorder="1" applyAlignment="1" applyProtection="1">
      <alignment vertical="top"/>
      <protection locked="0"/>
    </xf>
    <xf numFmtId="44" fontId="13" fillId="0" borderId="0" xfId="3" applyFont="1" applyFill="1" applyBorder="1" applyAlignment="1" applyProtection="1">
      <alignment vertical="top"/>
    </xf>
    <xf numFmtId="44" fontId="13" fillId="0" borderId="1" xfId="3" applyFont="1" applyFill="1" applyBorder="1" applyAlignment="1" applyProtection="1">
      <alignment vertical="top"/>
      <protection locked="0"/>
    </xf>
    <xf numFmtId="0" fontId="13" fillId="0" borderId="0" xfId="0" applyFont="1"/>
    <xf numFmtId="0" fontId="20" fillId="0" borderId="0" xfId="0" applyFont="1" applyAlignment="1">
      <alignment vertical="center" wrapText="1"/>
    </xf>
    <xf numFmtId="0" fontId="22" fillId="0" borderId="5" xfId="0" applyFont="1" applyBorder="1"/>
    <xf numFmtId="0" fontId="13" fillId="0" borderId="2" xfId="0" applyFont="1" applyBorder="1"/>
    <xf numFmtId="1" fontId="13" fillId="0" borderId="1" xfId="0" applyNumberFormat="1" applyFont="1" applyBorder="1" applyAlignment="1">
      <alignment horizontal="center" vertical="top"/>
    </xf>
    <xf numFmtId="0" fontId="20" fillId="0" borderId="1" xfId="0" applyFont="1" applyBorder="1" applyAlignment="1">
      <alignment vertical="top" wrapText="1"/>
    </xf>
    <xf numFmtId="0" fontId="13" fillId="0" borderId="0" xfId="0" applyFont="1" applyAlignment="1">
      <alignment vertical="top"/>
    </xf>
    <xf numFmtId="0" fontId="13" fillId="0" borderId="0" xfId="0" applyFont="1" applyAlignment="1">
      <alignment horizontal="left" vertical="top" wrapText="1"/>
    </xf>
    <xf numFmtId="44" fontId="13" fillId="0" borderId="0" xfId="0" applyNumberFormat="1" applyFont="1" applyAlignment="1">
      <alignment vertical="top"/>
    </xf>
    <xf numFmtId="44" fontId="13" fillId="0" borderId="5" xfId="3" applyFont="1" applyFill="1" applyBorder="1" applyAlignment="1" applyProtection="1">
      <alignment horizontal="left" vertical="top" wrapText="1"/>
      <protection locked="0"/>
    </xf>
    <xf numFmtId="2" fontId="13" fillId="0" borderId="6" xfId="3" applyNumberFormat="1" applyFont="1" applyFill="1" applyBorder="1" applyAlignment="1" applyProtection="1">
      <alignment horizontal="center" vertical="top"/>
      <protection locked="0"/>
    </xf>
    <xf numFmtId="0" fontId="13" fillId="0" borderId="6" xfId="0" applyFont="1" applyBorder="1" applyAlignment="1">
      <alignment vertical="top"/>
    </xf>
    <xf numFmtId="0" fontId="13" fillId="0" borderId="8" xfId="0" applyFont="1" applyBorder="1" applyAlignment="1">
      <alignment vertical="top"/>
    </xf>
    <xf numFmtId="0" fontId="13" fillId="0" borderId="4" xfId="0" applyFont="1" applyBorder="1" applyAlignment="1">
      <alignment vertical="top"/>
    </xf>
    <xf numFmtId="0" fontId="13" fillId="0" borderId="5" xfId="0" applyFont="1" applyBorder="1" applyAlignment="1">
      <alignment horizontal="left" vertical="top" wrapText="1"/>
    </xf>
    <xf numFmtId="44" fontId="13" fillId="0" borderId="6" xfId="3" applyFont="1" applyFill="1" applyBorder="1" applyAlignment="1" applyProtection="1">
      <alignment vertical="top"/>
    </xf>
    <xf numFmtId="9" fontId="13" fillId="0" borderId="1" xfId="2" applyFont="1" applyBorder="1" applyAlignment="1">
      <alignment vertical="top"/>
    </xf>
    <xf numFmtId="0" fontId="20" fillId="0" borderId="2" xfId="0" applyFont="1" applyBorder="1" applyAlignment="1">
      <alignment horizontal="left" vertical="top" wrapText="1"/>
    </xf>
    <xf numFmtId="0" fontId="20" fillId="0" borderId="3" xfId="0" applyFont="1" applyBorder="1" applyAlignment="1">
      <alignment vertical="top"/>
    </xf>
    <xf numFmtId="0" fontId="20" fillId="0" borderId="4" xfId="0" applyFont="1" applyBorder="1" applyAlignment="1">
      <alignment vertical="top"/>
    </xf>
    <xf numFmtId="0" fontId="13" fillId="0" borderId="7" xfId="0" applyFont="1" applyBorder="1" applyAlignment="1">
      <alignment horizontal="left" vertical="top" wrapText="1"/>
    </xf>
    <xf numFmtId="1" fontId="13" fillId="0" borderId="0" xfId="3" applyNumberFormat="1" applyFont="1" applyFill="1" applyBorder="1" applyAlignment="1" applyProtection="1">
      <alignment horizontal="right" vertical="top"/>
      <protection locked="0"/>
    </xf>
    <xf numFmtId="2" fontId="13" fillId="0" borderId="0" xfId="3" applyNumberFormat="1" applyFont="1" applyFill="1" applyBorder="1" applyAlignment="1" applyProtection="1">
      <alignment horizontal="right" vertical="top"/>
      <protection locked="0"/>
    </xf>
    <xf numFmtId="1" fontId="13" fillId="0" borderId="0" xfId="2" applyNumberFormat="1" applyFont="1" applyFill="1" applyBorder="1" applyAlignment="1" applyProtection="1">
      <alignment horizontal="center" vertical="top"/>
      <protection locked="0"/>
    </xf>
    <xf numFmtId="1" fontId="13" fillId="0" borderId="0" xfId="0" applyNumberFormat="1" applyFont="1" applyAlignment="1" applyProtection="1">
      <alignment horizontal="center" vertical="top"/>
      <protection locked="0"/>
    </xf>
    <xf numFmtId="0" fontId="13" fillId="0" borderId="0" xfId="0" applyFont="1" applyAlignment="1" applyProtection="1">
      <alignment horizontal="center" vertical="top"/>
      <protection locked="0"/>
    </xf>
    <xf numFmtId="0" fontId="20" fillId="0" borderId="0" xfId="0" applyFont="1" applyAlignment="1">
      <alignment vertical="top" wrapText="1"/>
    </xf>
    <xf numFmtId="9" fontId="13" fillId="0" borderId="0" xfId="0" applyNumberFormat="1" applyFont="1" applyAlignment="1" applyProtection="1">
      <alignment horizontal="center" vertical="top"/>
      <protection locked="0"/>
    </xf>
    <xf numFmtId="9" fontId="13" fillId="0" borderId="0" xfId="2" applyFont="1" applyBorder="1" applyAlignment="1">
      <alignment vertical="top"/>
    </xf>
    <xf numFmtId="169" fontId="22" fillId="0" borderId="0" xfId="0" applyNumberFormat="1" applyFont="1" applyAlignment="1">
      <alignment vertical="top"/>
    </xf>
    <xf numFmtId="43" fontId="13" fillId="0" borderId="0" xfId="0" applyNumberFormat="1" applyFont="1" applyAlignment="1">
      <alignment vertical="top"/>
    </xf>
    <xf numFmtId="9" fontId="13" fillId="0" borderId="0" xfId="0" applyNumberFormat="1" applyFont="1" applyAlignment="1">
      <alignment horizontal="right" vertical="top"/>
    </xf>
    <xf numFmtId="0" fontId="13" fillId="0" borderId="0" xfId="0" applyFont="1" applyAlignment="1">
      <alignment horizontal="right" vertical="top"/>
    </xf>
    <xf numFmtId="0" fontId="13" fillId="0" borderId="0" xfId="0" applyFont="1" applyAlignment="1">
      <alignment vertical="top" wrapText="1"/>
    </xf>
    <xf numFmtId="9" fontId="13" fillId="0" borderId="8" xfId="0" applyNumberFormat="1" applyFont="1" applyBorder="1" applyAlignment="1">
      <alignment horizontal="center" vertical="top"/>
    </xf>
    <xf numFmtId="9" fontId="21" fillId="0" borderId="4" xfId="2" applyFont="1" applyFill="1" applyBorder="1" applyAlignment="1" applyProtection="1">
      <alignment vertical="top"/>
    </xf>
    <xf numFmtId="9" fontId="13" fillId="0" borderId="6" xfId="2" applyFont="1" applyFill="1" applyBorder="1" applyAlignment="1" applyProtection="1">
      <alignment vertical="top"/>
    </xf>
    <xf numFmtId="164" fontId="13" fillId="0" borderId="5" xfId="2" applyNumberFormat="1" applyFont="1" applyFill="1" applyBorder="1" applyAlignment="1" applyProtection="1">
      <alignment horizontal="left" vertical="top" wrapText="1"/>
    </xf>
    <xf numFmtId="9" fontId="22" fillId="0" borderId="6" xfId="0" applyNumberFormat="1" applyFont="1" applyBorder="1" applyAlignment="1">
      <alignment vertical="top"/>
    </xf>
    <xf numFmtId="173" fontId="13" fillId="0" borderId="6" xfId="2" applyNumberFormat="1" applyFont="1" applyFill="1" applyBorder="1" applyAlignment="1" applyProtection="1">
      <alignment vertical="top"/>
    </xf>
    <xf numFmtId="173" fontId="13" fillId="0" borderId="8" xfId="2" applyNumberFormat="1" applyFont="1" applyFill="1" applyBorder="1" applyAlignment="1" applyProtection="1">
      <alignment vertical="top"/>
    </xf>
    <xf numFmtId="9" fontId="20" fillId="0" borderId="2" xfId="0" applyNumberFormat="1" applyFont="1" applyBorder="1" applyAlignment="1">
      <alignment horizontal="left" vertical="top" wrapText="1"/>
    </xf>
    <xf numFmtId="9" fontId="20" fillId="0" borderId="3" xfId="0" applyNumberFormat="1" applyFont="1" applyBorder="1" applyAlignment="1">
      <alignment vertical="top" wrapText="1"/>
    </xf>
    <xf numFmtId="9" fontId="20" fillId="0" borderId="4" xfId="0" applyNumberFormat="1" applyFont="1" applyBorder="1" applyAlignment="1">
      <alignment vertical="top" wrapText="1"/>
    </xf>
    <xf numFmtId="44" fontId="13" fillId="0" borderId="5" xfId="3" applyFont="1" applyFill="1" applyBorder="1" applyAlignment="1" applyProtection="1">
      <alignment horizontal="center" vertical="top" wrapText="1"/>
      <protection locked="0"/>
    </xf>
    <xf numFmtId="44" fontId="13" fillId="0" borderId="5" xfId="0" applyNumberFormat="1" applyFont="1" applyBorder="1" applyAlignment="1">
      <alignment horizontal="center" vertical="top"/>
    </xf>
    <xf numFmtId="44" fontId="13" fillId="0" borderId="0" xfId="0" applyNumberFormat="1" applyFont="1" applyAlignment="1">
      <alignment horizontal="center" vertical="top"/>
    </xf>
    <xf numFmtId="44" fontId="13" fillId="0" borderId="7" xfId="3" applyFont="1" applyFill="1" applyBorder="1" applyAlignment="1" applyProtection="1">
      <alignment horizontal="center" vertical="top" wrapText="1"/>
      <protection locked="0"/>
    </xf>
    <xf numFmtId="9" fontId="22" fillId="0" borderId="5" xfId="0" applyNumberFormat="1" applyFont="1" applyBorder="1" applyAlignment="1">
      <alignment vertical="top" wrapText="1"/>
    </xf>
    <xf numFmtId="9" fontId="22" fillId="0" borderId="0" xfId="0" applyNumberFormat="1" applyFont="1" applyAlignment="1">
      <alignment vertical="top" wrapText="1"/>
    </xf>
    <xf numFmtId="9" fontId="13" fillId="0" borderId="5" xfId="0" applyNumberFormat="1" applyFont="1" applyBorder="1" applyAlignment="1">
      <alignment horizontal="right" vertical="top" wrapText="1"/>
    </xf>
    <xf numFmtId="0" fontId="13" fillId="0" borderId="5" xfId="0" applyFont="1" applyBorder="1" applyAlignment="1">
      <alignment horizontal="right" vertical="top" wrapText="1"/>
    </xf>
    <xf numFmtId="0" fontId="22" fillId="0" borderId="5" xfId="0" applyFont="1" applyBorder="1" applyAlignment="1">
      <alignment vertical="top" wrapText="1"/>
    </xf>
    <xf numFmtId="2" fontId="13" fillId="0" borderId="6" xfId="0" applyNumberFormat="1" applyFont="1" applyBorder="1" applyAlignment="1">
      <alignment vertical="top"/>
    </xf>
    <xf numFmtId="0" fontId="13" fillId="0" borderId="5" xfId="0" applyFont="1" applyBorder="1" applyAlignment="1">
      <alignment horizontal="right" vertical="top"/>
    </xf>
    <xf numFmtId="0" fontId="22" fillId="0" borderId="5" xfId="0" applyFont="1" applyBorder="1" applyAlignment="1">
      <alignment vertical="top"/>
    </xf>
    <xf numFmtId="0" fontId="13" fillId="0" borderId="7" xfId="0" applyFont="1" applyBorder="1" applyAlignment="1">
      <alignment horizontal="right" vertical="top"/>
    </xf>
    <xf numFmtId="0" fontId="13" fillId="0" borderId="6" xfId="0" applyFont="1" applyBorder="1" applyAlignment="1">
      <alignment vertical="top" wrapText="1"/>
    </xf>
    <xf numFmtId="9" fontId="13" fillId="0" borderId="8" xfId="2" applyFont="1" applyFill="1" applyBorder="1" applyAlignment="1" applyProtection="1">
      <alignment vertical="top"/>
    </xf>
    <xf numFmtId="2" fontId="13" fillId="0" borderId="3" xfId="3" applyNumberFormat="1" applyFont="1" applyFill="1" applyBorder="1" applyAlignment="1" applyProtection="1">
      <alignment horizontal="right" vertical="top"/>
      <protection locked="0"/>
    </xf>
    <xf numFmtId="9" fontId="13" fillId="0" borderId="4" xfId="2" applyFont="1" applyFill="1" applyBorder="1" applyAlignment="1" applyProtection="1">
      <alignment vertical="top"/>
    </xf>
    <xf numFmtId="44" fontId="20" fillId="0" borderId="3" xfId="0" applyNumberFormat="1" applyFont="1" applyBorder="1" applyAlignment="1">
      <alignment horizontal="center" vertical="top"/>
    </xf>
    <xf numFmtId="44" fontId="13" fillId="0" borderId="3" xfId="0" applyNumberFormat="1" applyFont="1" applyBorder="1" applyAlignment="1">
      <alignment horizontal="center" vertical="top"/>
    </xf>
    <xf numFmtId="43" fontId="13" fillId="0" borderId="6" xfId="0" applyNumberFormat="1" applyFont="1" applyBorder="1" applyAlignment="1">
      <alignment horizontal="center" vertical="top"/>
    </xf>
    <xf numFmtId="44" fontId="13" fillId="0" borderId="7" xfId="0" applyNumberFormat="1" applyFont="1" applyBorder="1" applyAlignment="1">
      <alignment horizontal="center" vertical="top"/>
    </xf>
    <xf numFmtId="44" fontId="13" fillId="0" borderId="1" xfId="0" applyNumberFormat="1" applyFont="1" applyBorder="1" applyAlignment="1">
      <alignment horizontal="center" vertical="top"/>
    </xf>
    <xf numFmtId="0" fontId="13" fillId="0" borderId="12" xfId="0" applyFont="1" applyBorder="1" applyAlignment="1">
      <alignment horizontal="center" vertical="top" wrapText="1"/>
    </xf>
    <xf numFmtId="173" fontId="13" fillId="0" borderId="13" xfId="2" applyNumberFormat="1" applyFont="1" applyFill="1" applyBorder="1" applyAlignment="1" applyProtection="1">
      <alignment horizontal="center" vertical="top" wrapText="1"/>
    </xf>
    <xf numFmtId="44" fontId="13" fillId="0" borderId="12" xfId="0" applyNumberFormat="1" applyFont="1" applyBorder="1" applyAlignment="1">
      <alignment horizontal="right" vertical="top"/>
    </xf>
    <xf numFmtId="9" fontId="13" fillId="0" borderId="13" xfId="2" applyFont="1" applyFill="1" applyBorder="1" applyAlignment="1" applyProtection="1">
      <alignment vertical="top"/>
    </xf>
    <xf numFmtId="44" fontId="13" fillId="0" borderId="14" xfId="0" applyNumberFormat="1" applyFont="1" applyBorder="1" applyAlignment="1">
      <alignment horizontal="right" vertical="top"/>
    </xf>
    <xf numFmtId="9" fontId="13" fillId="0" borderId="16" xfId="2" applyFont="1" applyFill="1" applyBorder="1" applyAlignment="1" applyProtection="1">
      <alignment vertical="top"/>
    </xf>
    <xf numFmtId="0" fontId="13" fillId="0" borderId="4" xfId="0" applyFont="1" applyBorder="1"/>
    <xf numFmtId="0" fontId="13" fillId="0" borderId="5" xfId="0" applyFont="1" applyBorder="1"/>
    <xf numFmtId="2" fontId="13" fillId="0" borderId="6" xfId="0" applyNumberFormat="1" applyFont="1" applyBorder="1"/>
    <xf numFmtId="0" fontId="13" fillId="0" borderId="7" xfId="0" applyFont="1" applyBorder="1"/>
    <xf numFmtId="2" fontId="13" fillId="0" borderId="8" xfId="0" applyNumberFormat="1" applyFont="1" applyBorder="1"/>
    <xf numFmtId="9" fontId="13" fillId="0" borderId="7" xfId="0" applyNumberFormat="1" applyFont="1" applyBorder="1" applyAlignment="1">
      <alignment horizontal="center"/>
    </xf>
    <xf numFmtId="9" fontId="13" fillId="0" borderId="1" xfId="0" applyNumberFormat="1" applyFont="1" applyBorder="1" applyAlignment="1">
      <alignment horizontal="center" wrapText="1"/>
    </xf>
    <xf numFmtId="9" fontId="13" fillId="0" borderId="8" xfId="0" applyNumberFormat="1" applyFont="1" applyBorder="1" applyAlignment="1">
      <alignment horizontal="center" wrapText="1"/>
    </xf>
    <xf numFmtId="0" fontId="22" fillId="0" borderId="5" xfId="0" applyFont="1" applyBorder="1" applyAlignment="1">
      <alignment horizontal="center"/>
    </xf>
    <xf numFmtId="0" fontId="22" fillId="0" borderId="0" xfId="0" applyFont="1" applyAlignment="1">
      <alignment horizontal="center"/>
    </xf>
    <xf numFmtId="0" fontId="22" fillId="0" borderId="6" xfId="0" applyFont="1" applyBorder="1" applyAlignment="1">
      <alignment horizontal="center"/>
    </xf>
    <xf numFmtId="0" fontId="22" fillId="0" borderId="6" xfId="0" applyFont="1" applyBorder="1"/>
    <xf numFmtId="0" fontId="20" fillId="0" borderId="2" xfId="0" applyFont="1" applyBorder="1"/>
    <xf numFmtId="10" fontId="13" fillId="0" borderId="0" xfId="2" applyNumberFormat="1" applyFont="1" applyFill="1" applyBorder="1" applyAlignment="1">
      <alignment horizontal="center"/>
    </xf>
    <xf numFmtId="10" fontId="13" fillId="0" borderId="1" xfId="2" applyNumberFormat="1" applyFont="1" applyFill="1" applyBorder="1" applyAlignment="1">
      <alignment horizontal="center"/>
    </xf>
    <xf numFmtId="0" fontId="23" fillId="0" borderId="2" xfId="0" applyFont="1" applyBorder="1"/>
    <xf numFmtId="0" fontId="23" fillId="0" borderId="3" xfId="0" applyFont="1" applyBorder="1" applyAlignment="1">
      <alignment horizontal="center"/>
    </xf>
    <xf numFmtId="0" fontId="23" fillId="0" borderId="4" xfId="0" applyFont="1" applyBorder="1" applyAlignment="1">
      <alignment horizontal="center"/>
    </xf>
    <xf numFmtId="44" fontId="13" fillId="0" borderId="17" xfId="0" applyNumberFormat="1" applyFont="1" applyBorder="1"/>
    <xf numFmtId="0" fontId="13" fillId="0" borderId="6" xfId="0" applyFont="1" applyBorder="1" applyAlignment="1">
      <alignment horizontal="right"/>
    </xf>
    <xf numFmtId="0" fontId="22" fillId="0" borderId="7" xfId="0" applyFont="1" applyBorder="1"/>
    <xf numFmtId="167" fontId="13" fillId="0" borderId="1" xfId="0" applyNumberFormat="1" applyFont="1" applyBorder="1" applyAlignment="1">
      <alignment horizontal="center"/>
    </xf>
    <xf numFmtId="0" fontId="13" fillId="0" borderId="1" xfId="0" applyFont="1" applyBorder="1" applyAlignment="1">
      <alignment horizontal="right"/>
    </xf>
    <xf numFmtId="0" fontId="13" fillId="0" borderId="8" xfId="0" applyFont="1" applyBorder="1" applyAlignment="1">
      <alignment horizontal="right"/>
    </xf>
    <xf numFmtId="0" fontId="24" fillId="0" borderId="19" xfId="0" applyFont="1" applyBorder="1"/>
    <xf numFmtId="44" fontId="22" fillId="0" borderId="18" xfId="0" applyNumberFormat="1" applyFont="1" applyBorder="1"/>
    <xf numFmtId="0" fontId="24" fillId="0" borderId="0" xfId="0" applyFont="1"/>
    <xf numFmtId="2" fontId="22" fillId="0" borderId="0" xfId="0" applyNumberFormat="1" applyFont="1"/>
    <xf numFmtId="44" fontId="22" fillId="0" borderId="0" xfId="0" applyNumberFormat="1" applyFont="1"/>
    <xf numFmtId="9" fontId="22" fillId="0" borderId="0" xfId="0" applyNumberFormat="1" applyFont="1"/>
    <xf numFmtId="167" fontId="22" fillId="0" borderId="18" xfId="0" applyNumberFormat="1" applyFont="1" applyBorder="1"/>
    <xf numFmtId="167" fontId="13" fillId="0" borderId="0" xfId="0" applyNumberFormat="1" applyFont="1"/>
    <xf numFmtId="44" fontId="13" fillId="0" borderId="0" xfId="3" applyFont="1" applyBorder="1"/>
    <xf numFmtId="9" fontId="13" fillId="0" borderId="0" xfId="2" applyFont="1" applyBorder="1"/>
    <xf numFmtId="2" fontId="13" fillId="0" borderId="0" xfId="0" applyNumberFormat="1" applyFont="1"/>
    <xf numFmtId="1" fontId="13" fillId="0" borderId="6" xfId="0" applyNumberFormat="1" applyFont="1" applyBorder="1"/>
    <xf numFmtId="167" fontId="13" fillId="0" borderId="1" xfId="0" applyNumberFormat="1" applyFont="1" applyBorder="1"/>
    <xf numFmtId="44" fontId="13" fillId="0" borderId="1" xfId="3" applyFont="1" applyBorder="1"/>
    <xf numFmtId="9" fontId="13" fillId="0" borderId="1" xfId="2" applyFont="1" applyBorder="1"/>
    <xf numFmtId="2" fontId="13" fillId="0" borderId="1" xfId="0" applyNumberFormat="1" applyFont="1" applyBorder="1"/>
    <xf numFmtId="1" fontId="13" fillId="0" borderId="8" xfId="0" applyNumberFormat="1" applyFont="1" applyBorder="1"/>
    <xf numFmtId="0" fontId="24" fillId="0" borderId="7" xfId="0" applyFont="1" applyBorder="1"/>
    <xf numFmtId="44" fontId="22" fillId="0" borderId="8" xfId="0" applyNumberFormat="1" applyFont="1" applyBorder="1"/>
    <xf numFmtId="44" fontId="13" fillId="0" borderId="0" xfId="0" applyNumberFormat="1" applyFont="1"/>
    <xf numFmtId="167" fontId="13" fillId="0" borderId="0" xfId="0" applyNumberFormat="1" applyFont="1" applyAlignment="1">
      <alignment horizontal="center"/>
    </xf>
    <xf numFmtId="0" fontId="13" fillId="0" borderId="0" xfId="0" applyFont="1" applyAlignment="1">
      <alignment horizontal="right"/>
    </xf>
    <xf numFmtId="44" fontId="13" fillId="0" borderId="1" xfId="0" applyNumberFormat="1" applyFont="1" applyBorder="1"/>
    <xf numFmtId="1" fontId="13" fillId="0" borderId="0" xfId="0" applyNumberFormat="1" applyFont="1"/>
    <xf numFmtId="167" fontId="22" fillId="0" borderId="3" xfId="0" applyNumberFormat="1" applyFont="1" applyBorder="1" applyAlignment="1">
      <alignment horizontal="center"/>
    </xf>
    <xf numFmtId="44" fontId="22" fillId="0" borderId="3" xfId="3" applyFont="1" applyBorder="1" applyAlignment="1">
      <alignment horizontal="center"/>
    </xf>
    <xf numFmtId="9" fontId="22" fillId="0" borderId="3" xfId="2" applyFont="1" applyBorder="1" applyAlignment="1">
      <alignment horizontal="center"/>
    </xf>
    <xf numFmtId="2" fontId="22" fillId="0" borderId="3" xfId="0" applyNumberFormat="1" applyFont="1" applyBorder="1" applyAlignment="1">
      <alignment horizontal="center"/>
    </xf>
    <xf numFmtId="1" fontId="22" fillId="0" borderId="4" xfId="0" applyNumberFormat="1" applyFont="1" applyBorder="1" applyAlignment="1">
      <alignment horizontal="center"/>
    </xf>
    <xf numFmtId="0" fontId="25" fillId="2" borderId="0" xfId="0" applyFont="1" applyFill="1"/>
    <xf numFmtId="1" fontId="25" fillId="2" borderId="0" xfId="0" applyNumberFormat="1" applyFont="1" applyFill="1"/>
    <xf numFmtId="0" fontId="26" fillId="2" borderId="0" xfId="0" applyFont="1" applyFill="1" applyAlignment="1">
      <alignment horizontal="center"/>
    </xf>
    <xf numFmtId="1" fontId="25" fillId="2" borderId="0" xfId="3" applyNumberFormat="1" applyFont="1" applyFill="1" applyBorder="1"/>
    <xf numFmtId="44" fontId="25" fillId="2" borderId="0" xfId="3" applyFont="1" applyFill="1" applyBorder="1"/>
    <xf numFmtId="170" fontId="25" fillId="2" borderId="0" xfId="3" applyNumberFormat="1" applyFont="1" applyFill="1" applyBorder="1"/>
    <xf numFmtId="170" fontId="25" fillId="2" borderId="0" xfId="0" applyNumberFormat="1" applyFont="1" applyFill="1"/>
    <xf numFmtId="0" fontId="26" fillId="2" borderId="0" xfId="0" applyFont="1" applyFill="1"/>
    <xf numFmtId="44" fontId="26" fillId="2" borderId="0" xfId="3" applyFont="1" applyFill="1" applyBorder="1" applyAlignment="1"/>
    <xf numFmtId="0" fontId="26" fillId="2" borderId="0" xfId="0" applyFont="1" applyFill="1" applyAlignment="1">
      <alignment horizontal="left"/>
    </xf>
    <xf numFmtId="44" fontId="26" fillId="2" borderId="0" xfId="3" applyFont="1" applyFill="1" applyBorder="1" applyAlignment="1">
      <alignment horizontal="center"/>
    </xf>
    <xf numFmtId="170" fontId="25" fillId="2" borderId="0" xfId="3" applyNumberFormat="1" applyFont="1" applyFill="1" applyBorder="1" applyAlignment="1">
      <alignment horizontal="right"/>
    </xf>
    <xf numFmtId="170" fontId="25" fillId="2" borderId="0" xfId="0" applyNumberFormat="1" applyFont="1" applyFill="1" applyAlignment="1">
      <alignment horizontal="right"/>
    </xf>
    <xf numFmtId="0" fontId="9" fillId="7" borderId="0" xfId="0" applyFont="1" applyFill="1"/>
    <xf numFmtId="0" fontId="10" fillId="5" borderId="0" xfId="0" applyFont="1" applyFill="1" applyAlignment="1">
      <alignment horizontal="center" wrapText="1"/>
    </xf>
    <xf numFmtId="0" fontId="9" fillId="6" borderId="0" xfId="0" applyFont="1" applyFill="1" applyAlignment="1">
      <alignment horizontal="center"/>
    </xf>
    <xf numFmtId="0" fontId="11" fillId="2" borderId="2" xfId="0" applyFont="1" applyFill="1" applyBorder="1" applyAlignment="1">
      <alignment horizontal="center"/>
    </xf>
    <xf numFmtId="0" fontId="16" fillId="2" borderId="5" xfId="0" applyFont="1" applyFill="1" applyBorder="1"/>
    <xf numFmtId="0" fontId="9" fillId="2" borderId="6" xfId="0" applyFont="1" applyFill="1" applyBorder="1"/>
    <xf numFmtId="1" fontId="9" fillId="2" borderId="0" xfId="0" applyNumberFormat="1" applyFont="1" applyFill="1"/>
    <xf numFmtId="1" fontId="9" fillId="0" borderId="0" xfId="0" applyNumberFormat="1" applyFont="1" applyAlignment="1">
      <alignment horizontal="center"/>
    </xf>
    <xf numFmtId="44" fontId="9" fillId="2" borderId="0" xfId="3" applyFont="1" applyFill="1" applyBorder="1" applyAlignment="1" applyProtection="1">
      <alignment horizontal="center"/>
    </xf>
    <xf numFmtId="9" fontId="9" fillId="2" borderId="0" xfId="0" applyNumberFormat="1" applyFont="1" applyFill="1" applyAlignment="1">
      <alignment horizontal="center"/>
    </xf>
    <xf numFmtId="1" fontId="9" fillId="2" borderId="0" xfId="0" applyNumberFormat="1" applyFont="1" applyFill="1" applyAlignment="1">
      <alignment horizontal="center"/>
    </xf>
    <xf numFmtId="0" fontId="9" fillId="2" borderId="0" xfId="0" applyFont="1" applyFill="1" applyAlignment="1">
      <alignment horizontal="right"/>
    </xf>
    <xf numFmtId="0" fontId="11" fillId="2" borderId="3" xfId="0" applyFont="1" applyFill="1" applyBorder="1" applyAlignment="1">
      <alignment horizontal="center"/>
    </xf>
    <xf numFmtId="0" fontId="11" fillId="2" borderId="4" xfId="0" applyFont="1" applyFill="1" applyBorder="1" applyAlignment="1">
      <alignment horizontal="center" wrapText="1"/>
    </xf>
    <xf numFmtId="0" fontId="11" fillId="5" borderId="2" xfId="0" applyFont="1" applyFill="1" applyBorder="1"/>
    <xf numFmtId="0" fontId="11" fillId="5" borderId="3" xfId="0" applyFont="1" applyFill="1" applyBorder="1" applyAlignment="1">
      <alignment horizontal="center" wrapText="1"/>
    </xf>
    <xf numFmtId="0" fontId="11" fillId="5" borderId="4" xfId="0" applyFont="1" applyFill="1" applyBorder="1"/>
    <xf numFmtId="0" fontId="9" fillId="2" borderId="5" xfId="0" applyFont="1" applyFill="1" applyBorder="1" applyAlignment="1">
      <alignment horizontal="right"/>
    </xf>
    <xf numFmtId="0" fontId="9" fillId="5" borderId="5" xfId="0" applyFont="1" applyFill="1" applyBorder="1"/>
    <xf numFmtId="9" fontId="9" fillId="5" borderId="0" xfId="2" applyFont="1" applyFill="1" applyBorder="1" applyAlignment="1" applyProtection="1">
      <alignment horizontal="center"/>
    </xf>
    <xf numFmtId="0" fontId="9" fillId="5" borderId="0" xfId="0" applyFont="1" applyFill="1" applyAlignment="1">
      <alignment horizontal="center"/>
    </xf>
    <xf numFmtId="0" fontId="19" fillId="5" borderId="6" xfId="0" applyFont="1" applyFill="1" applyBorder="1"/>
    <xf numFmtId="1" fontId="9" fillId="2" borderId="0" xfId="2" applyNumberFormat="1" applyFont="1" applyFill="1" applyBorder="1" applyAlignment="1" applyProtection="1">
      <alignment horizontal="center"/>
    </xf>
    <xf numFmtId="164" fontId="9" fillId="5" borderId="0" xfId="2" applyNumberFormat="1" applyFont="1" applyFill="1" applyBorder="1" applyAlignment="1" applyProtection="1">
      <alignment horizontal="center"/>
    </xf>
    <xf numFmtId="0" fontId="9" fillId="5" borderId="6" xfId="0" applyFont="1" applyFill="1" applyBorder="1"/>
    <xf numFmtId="0" fontId="9" fillId="5" borderId="7" xfId="0" applyFont="1" applyFill="1" applyBorder="1"/>
    <xf numFmtId="9" fontId="9" fillId="5" borderId="1" xfId="2" applyFont="1" applyFill="1" applyBorder="1" applyAlignment="1" applyProtection="1">
      <alignment horizontal="center"/>
    </xf>
    <xf numFmtId="0" fontId="9" fillId="5" borderId="1" xfId="0" applyFont="1" applyFill="1" applyBorder="1" applyAlignment="1">
      <alignment horizontal="center"/>
    </xf>
    <xf numFmtId="0" fontId="9" fillId="5" borderId="8" xfId="0" applyFont="1" applyFill="1" applyBorder="1"/>
    <xf numFmtId="0" fontId="9" fillId="2" borderId="7" xfId="0" applyFont="1" applyFill="1" applyBorder="1" applyAlignment="1">
      <alignment horizontal="right"/>
    </xf>
    <xf numFmtId="1" fontId="10" fillId="2" borderId="0" xfId="2" applyNumberFormat="1" applyFont="1" applyFill="1" applyBorder="1" applyAlignment="1" applyProtection="1">
      <alignment horizontal="center"/>
    </xf>
    <xf numFmtId="164" fontId="9" fillId="5" borderId="4" xfId="2" applyNumberFormat="1" applyFont="1" applyFill="1" applyBorder="1" applyAlignment="1" applyProtection="1">
      <alignment horizontal="center"/>
    </xf>
    <xf numFmtId="164" fontId="9" fillId="5" borderId="6" xfId="2" applyNumberFormat="1" applyFont="1" applyFill="1" applyBorder="1" applyAlignment="1" applyProtection="1">
      <alignment horizontal="center"/>
    </xf>
    <xf numFmtId="0" fontId="9" fillId="2" borderId="1" xfId="0" applyFont="1" applyFill="1" applyBorder="1" applyAlignment="1">
      <alignment horizontal="right"/>
    </xf>
    <xf numFmtId="164" fontId="9" fillId="5" borderId="8" xfId="2" applyNumberFormat="1" applyFont="1" applyFill="1" applyBorder="1" applyAlignment="1" applyProtection="1">
      <alignment horizontal="center"/>
    </xf>
    <xf numFmtId="9" fontId="9" fillId="2" borderId="6" xfId="2" applyFont="1" applyFill="1" applyBorder="1" applyAlignment="1" applyProtection="1">
      <alignment horizontal="right"/>
    </xf>
    <xf numFmtId="9" fontId="9" fillId="2" borderId="0" xfId="0" applyNumberFormat="1" applyFont="1" applyFill="1" applyAlignment="1">
      <alignment horizontal="right"/>
    </xf>
    <xf numFmtId="0" fontId="9" fillId="2" borderId="8" xfId="0" applyFont="1" applyFill="1" applyBorder="1" applyAlignment="1">
      <alignment horizontal="right"/>
    </xf>
    <xf numFmtId="0" fontId="11" fillId="2" borderId="0" xfId="0" applyFont="1" applyFill="1" applyAlignment="1">
      <alignment horizontal="center"/>
    </xf>
    <xf numFmtId="9" fontId="18" fillId="2" borderId="0" xfId="0" applyNumberFormat="1" applyFont="1" applyFill="1" applyAlignment="1">
      <alignment horizontal="right"/>
    </xf>
    <xf numFmtId="9" fontId="10" fillId="2" borderId="0" xfId="0" applyNumberFormat="1" applyFont="1" applyFill="1"/>
    <xf numFmtId="171" fontId="9" fillId="2" borderId="0" xfId="0" applyNumberFormat="1" applyFont="1" applyFill="1"/>
    <xf numFmtId="170" fontId="9" fillId="2" borderId="0" xfId="3" applyNumberFormat="1" applyFont="1" applyFill="1" applyBorder="1" applyAlignment="1" applyProtection="1">
      <alignment horizontal="center"/>
    </xf>
    <xf numFmtId="170" fontId="9" fillId="2" borderId="0" xfId="0" applyNumberFormat="1" applyFont="1" applyFill="1" applyAlignment="1">
      <alignment horizontal="center"/>
    </xf>
    <xf numFmtId="170" fontId="9" fillId="2" borderId="0" xfId="3" applyNumberFormat="1" applyFont="1" applyFill="1" applyBorder="1" applyProtection="1"/>
    <xf numFmtId="0" fontId="9" fillId="2" borderId="5" xfId="0" applyFont="1" applyFill="1" applyBorder="1" applyAlignment="1">
      <alignment horizontal="left"/>
    </xf>
    <xf numFmtId="0" fontId="9" fillId="2" borderId="5" xfId="0" applyFont="1" applyFill="1" applyBorder="1" applyAlignment="1">
      <alignment wrapText="1"/>
    </xf>
    <xf numFmtId="170" fontId="9" fillId="2" borderId="2" xfId="3" applyNumberFormat="1" applyFont="1" applyFill="1" applyBorder="1" applyAlignment="1" applyProtection="1">
      <alignment horizontal="left"/>
    </xf>
    <xf numFmtId="170" fontId="9" fillId="5" borderId="4" xfId="0" applyNumberFormat="1" applyFont="1" applyFill="1" applyBorder="1" applyAlignment="1">
      <alignment horizontal="center"/>
    </xf>
    <xf numFmtId="170" fontId="9" fillId="2" borderId="5" xfId="3" applyNumberFormat="1" applyFont="1" applyFill="1" applyBorder="1" applyAlignment="1" applyProtection="1">
      <alignment horizontal="left"/>
    </xf>
    <xf numFmtId="170" fontId="9" fillId="5" borderId="6" xfId="3" applyNumberFormat="1" applyFont="1" applyFill="1" applyBorder="1" applyAlignment="1" applyProtection="1">
      <alignment horizontal="center"/>
    </xf>
    <xf numFmtId="1" fontId="9" fillId="5" borderId="6" xfId="3" applyNumberFormat="1" applyFont="1" applyFill="1" applyBorder="1" applyAlignment="1" applyProtection="1">
      <alignment horizontal="center"/>
    </xf>
    <xf numFmtId="172" fontId="9" fillId="2" borderId="0" xfId="3" applyNumberFormat="1" applyFont="1" applyFill="1" applyBorder="1" applyProtection="1"/>
    <xf numFmtId="0" fontId="9" fillId="2" borderId="7" xfId="0" applyFont="1" applyFill="1" applyBorder="1" applyAlignment="1">
      <alignment horizontal="left"/>
    </xf>
    <xf numFmtId="44" fontId="9" fillId="5" borderId="8" xfId="0" applyNumberFormat="1" applyFont="1" applyFill="1" applyBorder="1"/>
    <xf numFmtId="0" fontId="11" fillId="2" borderId="0" xfId="0" applyFont="1" applyFill="1"/>
    <xf numFmtId="44" fontId="11" fillId="2" borderId="0" xfId="3" applyFont="1" applyFill="1" applyAlignment="1" applyProtection="1"/>
    <xf numFmtId="172" fontId="9" fillId="2" borderId="0" xfId="0" applyNumberFormat="1" applyFont="1" applyFill="1"/>
    <xf numFmtId="0" fontId="10" fillId="2" borderId="0" xfId="0" applyFont="1" applyFill="1"/>
    <xf numFmtId="44" fontId="11" fillId="2" borderId="0" xfId="3" applyFont="1" applyFill="1" applyAlignment="1" applyProtection="1">
      <alignment horizontal="center"/>
    </xf>
    <xf numFmtId="164" fontId="9" fillId="2" borderId="5" xfId="2" applyNumberFormat="1" applyFont="1" applyFill="1" applyBorder="1" applyAlignment="1" applyProtection="1">
      <alignment horizontal="left"/>
    </xf>
    <xf numFmtId="170" fontId="9" fillId="2" borderId="2" xfId="3" applyNumberFormat="1" applyFont="1" applyFill="1" applyBorder="1" applyAlignment="1" applyProtection="1">
      <alignment wrapText="1"/>
    </xf>
    <xf numFmtId="44" fontId="9" fillId="5" borderId="4" xfId="3" applyFont="1" applyFill="1" applyBorder="1" applyAlignment="1" applyProtection="1">
      <alignment horizontal="center"/>
    </xf>
    <xf numFmtId="170" fontId="9" fillId="2" borderId="7" xfId="3" applyNumberFormat="1" applyFont="1" applyFill="1" applyBorder="1" applyAlignment="1" applyProtection="1">
      <alignment wrapText="1"/>
    </xf>
    <xf numFmtId="44" fontId="9" fillId="5" borderId="8" xfId="3" applyFont="1" applyFill="1" applyBorder="1" applyAlignment="1" applyProtection="1">
      <alignment horizontal="center"/>
    </xf>
    <xf numFmtId="0" fontId="9" fillId="2" borderId="2" xfId="0" applyFont="1" applyFill="1" applyBorder="1" applyAlignment="1">
      <alignment horizontal="center"/>
    </xf>
    <xf numFmtId="0" fontId="9" fillId="2" borderId="5" xfId="0" applyFont="1" applyFill="1" applyBorder="1" applyAlignment="1">
      <alignment horizontal="center"/>
    </xf>
    <xf numFmtId="0" fontId="10" fillId="2" borderId="0" xfId="0" applyFont="1" applyFill="1" applyAlignment="1">
      <alignment wrapText="1"/>
    </xf>
    <xf numFmtId="0" fontId="10" fillId="5" borderId="6" xfId="0" applyFont="1" applyFill="1" applyBorder="1" applyAlignment="1">
      <alignment wrapText="1"/>
    </xf>
    <xf numFmtId="170" fontId="9" fillId="2" borderId="0" xfId="0" applyNumberFormat="1" applyFont="1" applyFill="1" applyAlignment="1">
      <alignment horizontal="right"/>
    </xf>
    <xf numFmtId="9" fontId="9" fillId="5" borderId="6" xfId="2" applyFont="1" applyFill="1" applyBorder="1" applyProtection="1"/>
    <xf numFmtId="9" fontId="9" fillId="5" borderId="6" xfId="2" applyFont="1" applyFill="1" applyBorder="1" applyAlignment="1" applyProtection="1">
      <alignment vertical="center"/>
    </xf>
    <xf numFmtId="0" fontId="9" fillId="2" borderId="0" xfId="0" applyFont="1" applyFill="1" applyAlignment="1">
      <alignment vertical="center"/>
    </xf>
    <xf numFmtId="9" fontId="9" fillId="2" borderId="0" xfId="0" applyNumberFormat="1" applyFont="1" applyFill="1" applyAlignment="1">
      <alignment vertical="center"/>
    </xf>
    <xf numFmtId="44" fontId="9" fillId="2" borderId="6" xfId="3" applyFont="1" applyFill="1" applyBorder="1" applyProtection="1"/>
    <xf numFmtId="9" fontId="9" fillId="2" borderId="7" xfId="0" applyNumberFormat="1" applyFont="1" applyFill="1" applyBorder="1" applyAlignment="1">
      <alignment horizontal="left"/>
    </xf>
    <xf numFmtId="0" fontId="9" fillId="2" borderId="1" xfId="0" applyFont="1" applyFill="1" applyBorder="1"/>
    <xf numFmtId="0" fontId="9" fillId="2" borderId="8" xfId="0" applyFont="1" applyFill="1" applyBorder="1"/>
    <xf numFmtId="0" fontId="9" fillId="2" borderId="6" xfId="0" applyFont="1" applyFill="1" applyBorder="1" applyAlignment="1">
      <alignment wrapText="1"/>
    </xf>
    <xf numFmtId="44" fontId="9" fillId="2" borderId="0" xfId="3" applyFont="1" applyFill="1" applyProtection="1"/>
    <xf numFmtId="0" fontId="9" fillId="2" borderId="0" xfId="0" applyFont="1" applyFill="1" applyAlignment="1">
      <alignment horizontal="left"/>
    </xf>
    <xf numFmtId="0" fontId="9" fillId="2" borderId="0" xfId="0" applyFont="1" applyFill="1" applyAlignment="1">
      <alignment wrapText="1"/>
    </xf>
    <xf numFmtId="9" fontId="9" fillId="2" borderId="5" xfId="0" applyNumberFormat="1" applyFont="1" applyFill="1" applyBorder="1" applyAlignment="1">
      <alignment horizontal="left"/>
    </xf>
    <xf numFmtId="0" fontId="16" fillId="2" borderId="2" xfId="0" applyFont="1" applyFill="1" applyBorder="1"/>
    <xf numFmtId="0" fontId="9" fillId="2" borderId="4" xfId="0" applyFont="1" applyFill="1" applyBorder="1"/>
    <xf numFmtId="164" fontId="9" fillId="2" borderId="5" xfId="2" applyNumberFormat="1" applyFont="1" applyFill="1" applyBorder="1" applyAlignment="1" applyProtection="1">
      <alignment horizontal="center"/>
    </xf>
    <xf numFmtId="0" fontId="9" fillId="2" borderId="7" xfId="0" applyFont="1" applyFill="1" applyBorder="1" applyAlignment="1">
      <alignment horizontal="center"/>
    </xf>
    <xf numFmtId="0" fontId="10" fillId="5" borderId="0" xfId="0" applyFont="1" applyFill="1" applyAlignment="1">
      <alignment wrapText="1"/>
    </xf>
    <xf numFmtId="0" fontId="9" fillId="6" borderId="0" xfId="0" applyFont="1" applyFill="1"/>
    <xf numFmtId="1" fontId="9" fillId="3" borderId="6" xfId="0" applyNumberFormat="1" applyFont="1" applyFill="1" applyBorder="1" applyAlignment="1" applyProtection="1">
      <alignment horizontal="center"/>
      <protection locked="0"/>
    </xf>
    <xf numFmtId="0" fontId="9" fillId="3" borderId="6" xfId="0" applyFont="1" applyFill="1" applyBorder="1" applyAlignment="1" applyProtection="1">
      <alignment horizontal="center"/>
      <protection locked="0"/>
    </xf>
    <xf numFmtId="164" fontId="9" fillId="3" borderId="6" xfId="2" applyNumberFormat="1" applyFont="1" applyFill="1" applyBorder="1" applyAlignment="1" applyProtection="1">
      <alignment horizontal="center"/>
      <protection locked="0"/>
    </xf>
    <xf numFmtId="9" fontId="9" fillId="3" borderId="6" xfId="0" applyNumberFormat="1" applyFont="1" applyFill="1" applyBorder="1" applyAlignment="1" applyProtection="1">
      <alignment horizontal="center"/>
      <protection locked="0"/>
    </xf>
    <xf numFmtId="164" fontId="9" fillId="3" borderId="0" xfId="2" applyNumberFormat="1" applyFont="1" applyFill="1" applyBorder="1" applyAlignment="1" applyProtection="1">
      <alignment horizontal="center"/>
      <protection locked="0"/>
    </xf>
    <xf numFmtId="164" fontId="9" fillId="3" borderId="1" xfId="2" applyNumberFormat="1" applyFont="1" applyFill="1" applyBorder="1" applyAlignment="1" applyProtection="1">
      <alignment horizontal="center"/>
      <protection locked="0"/>
    </xf>
    <xf numFmtId="164" fontId="9" fillId="3" borderId="8" xfId="2" applyNumberFormat="1" applyFont="1" applyFill="1" applyBorder="1" applyAlignment="1" applyProtection="1">
      <alignment horizontal="center"/>
      <protection locked="0"/>
    </xf>
    <xf numFmtId="44" fontId="9" fillId="3" borderId="6" xfId="3" applyFont="1" applyFill="1" applyBorder="1" applyAlignment="1" applyProtection="1">
      <alignment horizontal="center"/>
      <protection locked="0"/>
    </xf>
    <xf numFmtId="165" fontId="9" fillId="3" borderId="6" xfId="1" applyNumberFormat="1" applyFont="1" applyFill="1" applyBorder="1" applyAlignment="1" applyProtection="1">
      <alignment horizontal="center"/>
      <protection locked="0"/>
    </xf>
    <xf numFmtId="43" fontId="9" fillId="3" borderId="6" xfId="1" applyFont="1" applyFill="1" applyBorder="1" applyAlignment="1" applyProtection="1">
      <alignment horizontal="center"/>
      <protection locked="0"/>
    </xf>
    <xf numFmtId="0" fontId="10" fillId="3" borderId="6" xfId="0" applyFont="1" applyFill="1" applyBorder="1" applyAlignment="1" applyProtection="1">
      <alignment horizontal="center"/>
      <protection locked="0"/>
    </xf>
    <xf numFmtId="44" fontId="9" fillId="3" borderId="17" xfId="3" applyFont="1" applyFill="1" applyBorder="1" applyAlignment="1" applyProtection="1">
      <alignment horizontal="center"/>
      <protection locked="0"/>
    </xf>
    <xf numFmtId="44" fontId="9" fillId="3" borderId="8" xfId="3" applyFont="1" applyFill="1" applyBorder="1" applyAlignment="1" applyProtection="1">
      <alignment horizontal="center"/>
      <protection locked="0"/>
    </xf>
    <xf numFmtId="44" fontId="9" fillId="3" borderId="0" xfId="3" applyFont="1" applyFill="1" applyBorder="1" applyAlignment="1" applyProtection="1">
      <alignment horizontal="center"/>
      <protection locked="0"/>
    </xf>
    <xf numFmtId="170" fontId="9" fillId="3" borderId="0" xfId="0" applyNumberFormat="1" applyFont="1" applyFill="1" applyAlignment="1" applyProtection="1">
      <alignment horizontal="center"/>
      <protection locked="0"/>
    </xf>
    <xf numFmtId="2" fontId="9" fillId="3" borderId="0" xfId="0" applyNumberFormat="1" applyFont="1" applyFill="1" applyProtection="1">
      <protection locked="0"/>
    </xf>
    <xf numFmtId="44" fontId="9" fillId="3" borderId="1" xfId="3" applyFont="1" applyFill="1" applyBorder="1" applyAlignment="1" applyProtection="1">
      <alignment horizontal="center"/>
      <protection locked="0"/>
    </xf>
    <xf numFmtId="170" fontId="9" fillId="3" borderId="1" xfId="0" applyNumberFormat="1" applyFont="1" applyFill="1" applyBorder="1" applyAlignment="1" applyProtection="1">
      <alignment horizontal="center"/>
      <protection locked="0"/>
    </xf>
    <xf numFmtId="2" fontId="9" fillId="3" borderId="1" xfId="0" applyNumberFormat="1" applyFont="1" applyFill="1" applyBorder="1" applyProtection="1">
      <protection locked="0"/>
    </xf>
    <xf numFmtId="170" fontId="9" fillId="3" borderId="6" xfId="3" applyNumberFormat="1" applyFont="1" applyFill="1" applyBorder="1" applyAlignment="1" applyProtection="1">
      <alignment horizontal="center"/>
      <protection locked="0"/>
    </xf>
    <xf numFmtId="170" fontId="9" fillId="3" borderId="8" xfId="3" applyNumberFormat="1" applyFont="1" applyFill="1" applyBorder="1" applyAlignment="1" applyProtection="1">
      <alignment horizontal="center"/>
      <protection locked="0"/>
    </xf>
    <xf numFmtId="10" fontId="9" fillId="3" borderId="6" xfId="2" applyNumberFormat="1" applyFont="1" applyFill="1" applyBorder="1" applyAlignment="1" applyProtection="1">
      <alignment horizontal="center"/>
      <protection locked="0"/>
    </xf>
    <xf numFmtId="1" fontId="9" fillId="3" borderId="6" xfId="3" applyNumberFormat="1" applyFont="1" applyFill="1" applyBorder="1" applyAlignment="1" applyProtection="1">
      <alignment horizontal="center"/>
      <protection locked="0"/>
    </xf>
    <xf numFmtId="9" fontId="9" fillId="3" borderId="8" xfId="2" applyFont="1" applyFill="1" applyBorder="1" applyAlignment="1" applyProtection="1">
      <alignment horizontal="center"/>
      <protection locked="0"/>
    </xf>
    <xf numFmtId="0" fontId="9" fillId="2" borderId="0" xfId="0" applyFont="1" applyFill="1" applyProtection="1">
      <protection locked="0"/>
    </xf>
    <xf numFmtId="0" fontId="9" fillId="2" borderId="0" xfId="0" applyFont="1" applyFill="1" applyAlignment="1" applyProtection="1">
      <alignment horizontal="center" vertical="top" wrapText="1"/>
      <protection locked="0"/>
    </xf>
    <xf numFmtId="0" fontId="9" fillId="0" borderId="0" xfId="0" applyFont="1" applyProtection="1">
      <protection locked="0"/>
    </xf>
    <xf numFmtId="0" fontId="9" fillId="2" borderId="0" xfId="0" applyFont="1" applyFill="1" applyAlignment="1" applyProtection="1">
      <alignment horizontal="left" vertical="top"/>
      <protection locked="0"/>
    </xf>
    <xf numFmtId="0" fontId="9" fillId="2" borderId="0" xfId="0" applyFont="1" applyFill="1" applyAlignment="1" applyProtection="1">
      <alignment horizontal="center"/>
      <protection locked="0"/>
    </xf>
    <xf numFmtId="0" fontId="9" fillId="3" borderId="3" xfId="0" applyFont="1" applyFill="1" applyBorder="1" applyProtection="1">
      <protection locked="0"/>
    </xf>
    <xf numFmtId="0" fontId="9" fillId="3" borderId="0" xfId="0" applyFont="1" applyFill="1" applyProtection="1">
      <protection locked="0"/>
    </xf>
    <xf numFmtId="0" fontId="9" fillId="3" borderId="1" xfId="0" applyFont="1" applyFill="1" applyBorder="1" applyProtection="1">
      <protection locked="0"/>
    </xf>
    <xf numFmtId="43" fontId="9" fillId="2" borderId="0" xfId="0" applyNumberFormat="1" applyFont="1" applyFill="1" applyProtection="1">
      <protection locked="0"/>
    </xf>
    <xf numFmtId="0" fontId="16" fillId="5" borderId="0" xfId="0" applyFont="1" applyFill="1" applyAlignment="1">
      <alignment horizontal="left"/>
    </xf>
    <xf numFmtId="0" fontId="16" fillId="2" borderId="0" xfId="0" applyFont="1" applyFill="1"/>
    <xf numFmtId="0" fontId="17" fillId="2" borderId="0" xfId="0" applyFont="1" applyFill="1"/>
    <xf numFmtId="0" fontId="9" fillId="5" borderId="0" xfId="0" applyFont="1" applyFill="1" applyAlignment="1">
      <alignment horizontal="left"/>
    </xf>
    <xf numFmtId="0" fontId="11" fillId="6" borderId="0" xfId="0" applyFont="1" applyFill="1" applyAlignment="1">
      <alignment horizontal="center" wrapText="1"/>
    </xf>
    <xf numFmtId="2" fontId="9" fillId="6" borderId="0" xfId="0" applyNumberFormat="1" applyFont="1" applyFill="1" applyAlignment="1">
      <alignment horizontal="center"/>
    </xf>
    <xf numFmtId="3" fontId="9" fillId="6" borderId="0" xfId="1" applyNumberFormat="1" applyFont="1" applyFill="1" applyAlignment="1" applyProtection="1">
      <alignment horizontal="center"/>
    </xf>
    <xf numFmtId="0" fontId="15" fillId="7" borderId="0" xfId="0" applyFont="1" applyFill="1" applyAlignment="1">
      <alignment wrapText="1"/>
    </xf>
    <xf numFmtId="0" fontId="15" fillId="7" borderId="0" xfId="0" applyFont="1" applyFill="1" applyAlignment="1">
      <alignment vertical="center" wrapText="1"/>
    </xf>
    <xf numFmtId="0" fontId="10" fillId="7" borderId="0" xfId="0" applyFont="1" applyFill="1" applyAlignment="1">
      <alignment horizontal="center" wrapText="1"/>
    </xf>
    <xf numFmtId="0" fontId="10" fillId="7" borderId="0" xfId="0" applyFont="1" applyFill="1" applyAlignment="1">
      <alignment wrapText="1"/>
    </xf>
    <xf numFmtId="0" fontId="0" fillId="7" borderId="0" xfId="0" applyFill="1"/>
    <xf numFmtId="0" fontId="0" fillId="6" borderId="0" xfId="0" applyFill="1"/>
    <xf numFmtId="0" fontId="16" fillId="0" borderId="2" xfId="0" applyFont="1" applyBorder="1"/>
    <xf numFmtId="0" fontId="16" fillId="0" borderId="3" xfId="0" applyFont="1" applyBorder="1" applyAlignment="1">
      <alignment horizontal="center"/>
    </xf>
    <xf numFmtId="0" fontId="16" fillId="0" borderId="4" xfId="0" applyFont="1" applyBorder="1" applyAlignment="1">
      <alignment horizontal="center"/>
    </xf>
    <xf numFmtId="0" fontId="10" fillId="0" borderId="5" xfId="0" applyFont="1" applyBorder="1"/>
    <xf numFmtId="44" fontId="9" fillId="3" borderId="17" xfId="0" applyNumberFormat="1" applyFont="1" applyFill="1" applyBorder="1"/>
    <xf numFmtId="44" fontId="9" fillId="0" borderId="0" xfId="0" applyNumberFormat="1" applyFont="1"/>
    <xf numFmtId="167" fontId="9" fillId="0" borderId="0" xfId="0" applyNumberFormat="1" applyFont="1" applyAlignment="1">
      <alignment horizontal="center"/>
    </xf>
    <xf numFmtId="10" fontId="9" fillId="0" borderId="0" xfId="2" applyNumberFormat="1" applyFont="1" applyFill="1" applyBorder="1" applyAlignment="1" applyProtection="1">
      <alignment horizontal="center"/>
    </xf>
    <xf numFmtId="0" fontId="9" fillId="0" borderId="0" xfId="0" applyFont="1" applyAlignment="1">
      <alignment horizontal="right"/>
    </xf>
    <xf numFmtId="0" fontId="9" fillId="0" borderId="6" xfId="0" applyFont="1" applyBorder="1" applyAlignment="1">
      <alignment horizontal="right"/>
    </xf>
    <xf numFmtId="0" fontId="10" fillId="0" borderId="7" xfId="0" applyFont="1" applyBorder="1"/>
    <xf numFmtId="44" fontId="9" fillId="0" borderId="7" xfId="0" applyNumberFormat="1" applyFont="1" applyBorder="1"/>
    <xf numFmtId="167" fontId="9" fillId="0" borderId="1" xfId="0" applyNumberFormat="1" applyFont="1" applyBorder="1" applyAlignment="1">
      <alignment horizontal="center"/>
    </xf>
    <xf numFmtId="10" fontId="9" fillId="0" borderId="1" xfId="2" applyNumberFormat="1" applyFont="1" applyFill="1" applyBorder="1" applyAlignment="1" applyProtection="1">
      <alignment horizontal="center"/>
    </xf>
    <xf numFmtId="0" fontId="9" fillId="0" borderId="1" xfId="0" applyFont="1" applyBorder="1" applyAlignment="1">
      <alignment horizontal="right"/>
    </xf>
    <xf numFmtId="0" fontId="9" fillId="0" borderId="8" xfId="0" applyFont="1" applyBorder="1" applyAlignment="1">
      <alignment horizontal="right"/>
    </xf>
    <xf numFmtId="0" fontId="18" fillId="0" borderId="19" xfId="0" applyFont="1" applyBorder="1"/>
    <xf numFmtId="44" fontId="10" fillId="0" borderId="18" xfId="0" applyNumberFormat="1" applyFont="1" applyBorder="1"/>
    <xf numFmtId="0" fontId="18" fillId="2" borderId="0" xfId="0" applyFont="1" applyFill="1"/>
    <xf numFmtId="2" fontId="10" fillId="2" borderId="0" xfId="0" applyNumberFormat="1" applyFont="1" applyFill="1"/>
    <xf numFmtId="44" fontId="10" fillId="2" borderId="0" xfId="0" applyNumberFormat="1" applyFont="1" applyFill="1"/>
    <xf numFmtId="167" fontId="10" fillId="0" borderId="18" xfId="0" applyNumberFormat="1" applyFont="1" applyBorder="1"/>
    <xf numFmtId="0" fontId="15" fillId="2" borderId="0" xfId="0" applyFont="1" applyFill="1" applyAlignment="1">
      <alignment vertical="center" wrapText="1"/>
    </xf>
    <xf numFmtId="0" fontId="11" fillId="2" borderId="0" xfId="0" applyFont="1" applyFill="1" applyAlignment="1">
      <alignment horizontal="center" vertical="center" wrapText="1"/>
    </xf>
    <xf numFmtId="9" fontId="11" fillId="2" borderId="0" xfId="2" applyFont="1" applyFill="1" applyAlignment="1" applyProtection="1">
      <alignment horizontal="center" vertical="center" wrapText="1"/>
    </xf>
    <xf numFmtId="2" fontId="11" fillId="2" borderId="0" xfId="0" applyNumberFormat="1" applyFont="1" applyFill="1" applyAlignment="1">
      <alignment horizontal="center" vertical="center" wrapText="1"/>
    </xf>
    <xf numFmtId="1" fontId="11" fillId="2" borderId="0" xfId="0" applyNumberFormat="1" applyFont="1" applyFill="1" applyAlignment="1">
      <alignment horizontal="center" vertical="center" wrapText="1"/>
    </xf>
    <xf numFmtId="0" fontId="15" fillId="2" borderId="0" xfId="0" applyFont="1" applyFill="1" applyAlignment="1">
      <alignment horizontal="center" vertical="center" wrapText="1"/>
    </xf>
    <xf numFmtId="0" fontId="10" fillId="2" borderId="3" xfId="0" applyFont="1" applyFill="1" applyBorder="1" applyAlignment="1">
      <alignment horizontal="center"/>
    </xf>
    <xf numFmtId="9" fontId="10" fillId="2" borderId="3" xfId="2" applyFont="1" applyFill="1" applyBorder="1" applyAlignment="1" applyProtection="1">
      <alignment horizontal="center"/>
    </xf>
    <xf numFmtId="2" fontId="10" fillId="2" borderId="3" xfId="0" applyNumberFormat="1" applyFont="1" applyFill="1" applyBorder="1" applyAlignment="1">
      <alignment horizontal="center" vertical="top"/>
    </xf>
    <xf numFmtId="1" fontId="10" fillId="2" borderId="4" xfId="0" applyNumberFormat="1" applyFont="1" applyFill="1" applyBorder="1" applyAlignment="1">
      <alignment horizontal="center" vertical="top"/>
    </xf>
    <xf numFmtId="167" fontId="9" fillId="2" borderId="0" xfId="0" applyNumberFormat="1" applyFont="1" applyFill="1" applyAlignment="1">
      <alignment horizontal="center" vertical="center"/>
    </xf>
    <xf numFmtId="167" fontId="9" fillId="2" borderId="1" xfId="0" applyNumberFormat="1" applyFont="1" applyFill="1" applyBorder="1" applyAlignment="1">
      <alignment horizontal="center" vertical="center"/>
    </xf>
    <xf numFmtId="0" fontId="9" fillId="2" borderId="3" xfId="0" applyFont="1" applyFill="1" applyBorder="1" applyAlignment="1">
      <alignment vertical="center" wrapText="1"/>
    </xf>
    <xf numFmtId="0" fontId="9" fillId="2" borderId="1" xfId="0" applyFont="1" applyFill="1" applyBorder="1" applyAlignment="1">
      <alignment vertical="center" wrapText="1"/>
    </xf>
    <xf numFmtId="9" fontId="15" fillId="7" borderId="0" xfId="2" applyFont="1" applyFill="1" applyAlignment="1" applyProtection="1">
      <alignment vertical="center" wrapText="1"/>
    </xf>
    <xf numFmtId="2" fontId="15" fillId="7" borderId="0" xfId="0" applyNumberFormat="1" applyFont="1" applyFill="1" applyAlignment="1">
      <alignment vertical="center" wrapText="1"/>
    </xf>
    <xf numFmtId="1" fontId="15" fillId="7" borderId="0" xfId="0" applyNumberFormat="1" applyFont="1" applyFill="1" applyAlignment="1">
      <alignment vertical="center" wrapText="1"/>
    </xf>
    <xf numFmtId="9" fontId="10" fillId="7" borderId="0" xfId="2" applyFont="1" applyFill="1" applyAlignment="1" applyProtection="1">
      <alignment wrapText="1"/>
    </xf>
    <xf numFmtId="2" fontId="10" fillId="7" borderId="0" xfId="0" applyNumberFormat="1" applyFont="1" applyFill="1" applyAlignment="1">
      <alignment wrapText="1"/>
    </xf>
    <xf numFmtId="1" fontId="0" fillId="7" borderId="0" xfId="0" applyNumberFormat="1" applyFill="1"/>
    <xf numFmtId="0" fontId="15" fillId="2" borderId="0" xfId="0" applyFont="1" applyFill="1" applyAlignment="1">
      <alignment wrapText="1"/>
    </xf>
    <xf numFmtId="1" fontId="0" fillId="2" borderId="0" xfId="0" applyNumberFormat="1" applyFill="1"/>
    <xf numFmtId="0" fontId="15" fillId="2" borderId="0" xfId="0" applyFont="1" applyFill="1"/>
    <xf numFmtId="2" fontId="9" fillId="6" borderId="0" xfId="0" applyNumberFormat="1" applyFont="1" applyFill="1"/>
    <xf numFmtId="1" fontId="0" fillId="6" borderId="0" xfId="0" applyNumberFormat="1" applyFill="1"/>
    <xf numFmtId="2" fontId="0" fillId="2" borderId="0" xfId="0" applyNumberFormat="1" applyFill="1"/>
    <xf numFmtId="9" fontId="0" fillId="0" borderId="0" xfId="2" applyFont="1" applyProtection="1"/>
    <xf numFmtId="1" fontId="9" fillId="0" borderId="8" xfId="0" applyNumberFormat="1" applyFont="1" applyBorder="1" applyAlignment="1" applyProtection="1">
      <alignment horizontal="center"/>
      <protection locked="0"/>
    </xf>
    <xf numFmtId="0" fontId="15" fillId="5" borderId="0" xfId="0" applyFont="1" applyFill="1" applyAlignment="1">
      <alignment horizontal="center" wrapText="1"/>
    </xf>
    <xf numFmtId="0" fontId="15" fillId="6" borderId="0" xfId="0" applyFont="1" applyFill="1" applyAlignment="1">
      <alignment horizontal="center"/>
    </xf>
    <xf numFmtId="0" fontId="9" fillId="2" borderId="0" xfId="0" applyFont="1" applyFill="1" applyAlignment="1">
      <alignment horizontal="center" vertical="center" wrapText="1"/>
    </xf>
    <xf numFmtId="9" fontId="9" fillId="2" borderId="0" xfId="0" applyNumberFormat="1" applyFont="1" applyFill="1" applyAlignment="1">
      <alignment horizontal="center" vertical="center"/>
    </xf>
    <xf numFmtId="0" fontId="11" fillId="2" borderId="0" xfId="0" applyFont="1" applyFill="1" applyAlignment="1">
      <alignment horizontal="center"/>
    </xf>
    <xf numFmtId="0" fontId="10" fillId="2" borderId="5" xfId="0" applyFont="1" applyFill="1" applyBorder="1" applyAlignment="1">
      <alignment horizontal="center"/>
    </xf>
    <xf numFmtId="0" fontId="10" fillId="2" borderId="6" xfId="0" applyFont="1" applyFill="1" applyBorder="1" applyAlignment="1">
      <alignment horizontal="center"/>
    </xf>
    <xf numFmtId="0" fontId="10" fillId="2" borderId="5" xfId="0" applyFont="1" applyFill="1" applyBorder="1" applyAlignment="1">
      <alignment horizontal="center" vertical="center"/>
    </xf>
    <xf numFmtId="0" fontId="10" fillId="2" borderId="6" xfId="0" applyFont="1" applyFill="1" applyBorder="1" applyAlignment="1">
      <alignment horizontal="center" vertical="center"/>
    </xf>
    <xf numFmtId="0" fontId="9" fillId="2" borderId="2" xfId="0" applyFont="1" applyFill="1" applyBorder="1" applyAlignment="1">
      <alignment horizontal="center"/>
    </xf>
    <xf numFmtId="0" fontId="9" fillId="2" borderId="3" xfId="0" applyFont="1" applyFill="1" applyBorder="1" applyAlignment="1">
      <alignment horizontal="center"/>
    </xf>
    <xf numFmtId="0" fontId="9" fillId="2" borderId="4" xfId="0" applyFont="1" applyFill="1" applyBorder="1" applyAlignment="1">
      <alignment horizontal="center"/>
    </xf>
    <xf numFmtId="0" fontId="9" fillId="2" borderId="5" xfId="0" applyFont="1" applyFill="1" applyBorder="1" applyAlignment="1">
      <alignment horizontal="center"/>
    </xf>
    <xf numFmtId="0" fontId="9" fillId="2" borderId="0" xfId="0" applyFont="1" applyFill="1" applyAlignment="1">
      <alignment horizontal="center"/>
    </xf>
    <xf numFmtId="0" fontId="9" fillId="2" borderId="6" xfId="0" applyFont="1" applyFill="1" applyBorder="1" applyAlignment="1">
      <alignment horizontal="center"/>
    </xf>
    <xf numFmtId="170" fontId="10" fillId="2" borderId="1" xfId="3" applyNumberFormat="1" applyFont="1" applyFill="1" applyBorder="1" applyAlignment="1" applyProtection="1">
      <alignment horizontal="left"/>
    </xf>
    <xf numFmtId="0" fontId="15" fillId="6" borderId="0" xfId="0" applyFont="1" applyFill="1" applyAlignment="1">
      <alignment horizontal="center" wrapText="1"/>
    </xf>
    <xf numFmtId="0" fontId="11" fillId="2" borderId="2" xfId="0" applyFont="1" applyFill="1" applyBorder="1" applyAlignment="1">
      <alignment horizontal="center"/>
    </xf>
    <xf numFmtId="0" fontId="11" fillId="2" borderId="4" xfId="0" applyFont="1" applyFill="1" applyBorder="1" applyAlignment="1">
      <alignment horizontal="center"/>
    </xf>
    <xf numFmtId="0" fontId="9" fillId="2" borderId="2" xfId="0" applyFont="1" applyFill="1" applyBorder="1" applyAlignment="1">
      <alignment horizontal="right"/>
    </xf>
    <xf numFmtId="0" fontId="9" fillId="2" borderId="3" xfId="0" applyFont="1" applyFill="1" applyBorder="1" applyAlignment="1">
      <alignment horizontal="right"/>
    </xf>
    <xf numFmtId="0" fontId="9" fillId="2" borderId="0" xfId="0" applyFont="1" applyFill="1" applyAlignment="1">
      <alignment horizontal="right"/>
    </xf>
    <xf numFmtId="9" fontId="11" fillId="2" borderId="2" xfId="0" applyNumberFormat="1" applyFont="1" applyFill="1" applyBorder="1" applyAlignment="1">
      <alignment horizontal="right"/>
    </xf>
    <xf numFmtId="9" fontId="11" fillId="2" borderId="3" xfId="0" applyNumberFormat="1" applyFont="1" applyFill="1" applyBorder="1" applyAlignment="1">
      <alignment horizontal="right"/>
    </xf>
    <xf numFmtId="9" fontId="11" fillId="2" borderId="2" xfId="0" applyNumberFormat="1" applyFont="1" applyFill="1" applyBorder="1" applyAlignment="1">
      <alignment horizontal="center" vertical="center" wrapText="1"/>
    </xf>
    <xf numFmtId="9" fontId="11" fillId="2" borderId="3" xfId="0" applyNumberFormat="1" applyFont="1" applyFill="1" applyBorder="1" applyAlignment="1">
      <alignment horizontal="center" vertical="center" wrapText="1"/>
    </xf>
    <xf numFmtId="9" fontId="11" fillId="2" borderId="4" xfId="0" applyNumberFormat="1" applyFont="1" applyFill="1" applyBorder="1" applyAlignment="1">
      <alignment horizontal="center" vertical="center" wrapText="1"/>
    </xf>
    <xf numFmtId="0" fontId="11" fillId="2" borderId="7" xfId="0" applyFont="1" applyFill="1" applyBorder="1" applyAlignment="1">
      <alignment horizontal="center"/>
    </xf>
    <xf numFmtId="0" fontId="11" fillId="2" borderId="1" xfId="0" applyFont="1" applyFill="1" applyBorder="1" applyAlignment="1">
      <alignment horizontal="center"/>
    </xf>
    <xf numFmtId="0" fontId="9" fillId="5" borderId="19" xfId="0" applyFont="1" applyFill="1" applyBorder="1" applyAlignment="1">
      <alignment horizontal="center"/>
    </xf>
    <xf numFmtId="0" fontId="9" fillId="5" borderId="20" xfId="0" applyFont="1" applyFill="1" applyBorder="1" applyAlignment="1">
      <alignment horizontal="center"/>
    </xf>
    <xf numFmtId="0" fontId="9" fillId="5" borderId="18" xfId="0" applyFont="1" applyFill="1" applyBorder="1" applyAlignment="1">
      <alignment horizontal="center"/>
    </xf>
    <xf numFmtId="9" fontId="10" fillId="2" borderId="5" xfId="0" applyNumberFormat="1" applyFont="1" applyFill="1" applyBorder="1" applyAlignment="1">
      <alignment horizontal="center"/>
    </xf>
    <xf numFmtId="9" fontId="10" fillId="2" borderId="6" xfId="0" applyNumberFormat="1" applyFont="1" applyFill="1" applyBorder="1" applyAlignment="1">
      <alignment horizontal="center"/>
    </xf>
    <xf numFmtId="0" fontId="10" fillId="0" borderId="0" xfId="0" applyFont="1" applyAlignment="1">
      <alignment horizontal="center"/>
    </xf>
    <xf numFmtId="0" fontId="9" fillId="0" borderId="6" xfId="0" applyFont="1" applyBorder="1" applyAlignment="1">
      <alignment horizontal="center"/>
    </xf>
    <xf numFmtId="9" fontId="11" fillId="2" borderId="2" xfId="0" applyNumberFormat="1" applyFont="1" applyFill="1" applyBorder="1" applyAlignment="1">
      <alignment horizontal="left" vertical="center" wrapText="1"/>
    </xf>
    <xf numFmtId="9" fontId="11" fillId="2" borderId="4" xfId="0" applyNumberFormat="1" applyFont="1" applyFill="1" applyBorder="1" applyAlignment="1">
      <alignment horizontal="left" vertical="center" wrapText="1"/>
    </xf>
    <xf numFmtId="0" fontId="9" fillId="2" borderId="0" xfId="0" applyFont="1" applyFill="1" applyAlignment="1">
      <alignment horizontal="center" vertical="center"/>
    </xf>
    <xf numFmtId="0" fontId="0" fillId="0" borderId="0" xfId="0" applyAlignment="1">
      <alignment horizontal="center" vertical="center"/>
    </xf>
    <xf numFmtId="0" fontId="12" fillId="0" borderId="0" xfId="0" applyFont="1" applyAlignment="1">
      <alignment horizontal="center" vertical="center" wrapText="1"/>
    </xf>
    <xf numFmtId="0" fontId="11" fillId="7" borderId="0" xfId="0" applyFont="1" applyFill="1" applyAlignment="1">
      <alignment horizontal="left"/>
    </xf>
    <xf numFmtId="0" fontId="9" fillId="7" borderId="0" xfId="0" applyFont="1" applyFill="1" applyAlignment="1">
      <alignment horizontal="center" vertical="center"/>
    </xf>
    <xf numFmtId="0" fontId="9" fillId="5" borderId="0" xfId="0" applyFont="1" applyFill="1" applyAlignment="1">
      <alignment horizontal="center" vertical="center" wrapText="1"/>
    </xf>
    <xf numFmtId="0" fontId="11" fillId="6" borderId="0" xfId="0" applyFont="1" applyFill="1" applyAlignment="1">
      <alignment horizontal="center" vertical="center"/>
    </xf>
    <xf numFmtId="0" fontId="9" fillId="6" borderId="0" xfId="0" applyFont="1" applyFill="1" applyAlignment="1">
      <alignment horizontal="center" vertical="center"/>
    </xf>
    <xf numFmtId="0" fontId="11" fillId="7" borderId="0" xfId="0" applyFont="1" applyFill="1" applyAlignment="1">
      <alignment horizontal="center"/>
    </xf>
    <xf numFmtId="0" fontId="9" fillId="7" borderId="0" xfId="0" applyFont="1" applyFill="1" applyAlignment="1">
      <alignment horizontal="left"/>
    </xf>
    <xf numFmtId="0" fontId="0" fillId="0" borderId="0" xfId="0" applyAlignment="1" applyProtection="1">
      <alignment horizontal="center"/>
      <protection locked="0"/>
    </xf>
    <xf numFmtId="0" fontId="9" fillId="5" borderId="0" xfId="0" applyFont="1" applyFill="1" applyAlignment="1">
      <alignment horizontal="center" wrapText="1"/>
    </xf>
    <xf numFmtId="0" fontId="10" fillId="5" borderId="0" xfId="0" applyFont="1" applyFill="1" applyAlignment="1">
      <alignment horizontal="center" wrapText="1"/>
    </xf>
    <xf numFmtId="0" fontId="0" fillId="0" borderId="0" xfId="0" applyAlignment="1">
      <alignment horizontal="center"/>
    </xf>
    <xf numFmtId="0" fontId="10" fillId="5" borderId="0" xfId="0" applyFont="1" applyFill="1" applyAlignment="1" applyProtection="1">
      <alignment horizontal="center" wrapText="1"/>
      <protection locked="0"/>
    </xf>
    <xf numFmtId="0" fontId="9" fillId="6" borderId="0" xfId="0" applyFont="1" applyFill="1" applyAlignment="1">
      <alignment horizontal="center" wrapText="1"/>
    </xf>
    <xf numFmtId="0" fontId="9" fillId="6" borderId="0" xfId="0" applyFont="1" applyFill="1" applyAlignment="1">
      <alignment horizontal="center"/>
    </xf>
    <xf numFmtId="0" fontId="22" fillId="0" borderId="5" xfId="0" applyFont="1" applyBorder="1" applyAlignment="1">
      <alignment horizontal="center" vertical="top"/>
    </xf>
    <xf numFmtId="0" fontId="22" fillId="0" borderId="0" xfId="0" applyFont="1" applyAlignment="1">
      <alignment horizontal="center" vertical="top"/>
    </xf>
    <xf numFmtId="0" fontId="22" fillId="0" borderId="5" xfId="0" applyFont="1" applyBorder="1" applyAlignment="1">
      <alignment horizontal="center" vertical="top" wrapText="1"/>
    </xf>
    <xf numFmtId="0" fontId="22" fillId="0" borderId="0" xfId="0" applyFont="1" applyAlignment="1">
      <alignment horizontal="center" vertical="top" wrapText="1"/>
    </xf>
    <xf numFmtId="0" fontId="22" fillId="0" borderId="5" xfId="0" applyFont="1" applyBorder="1" applyAlignment="1">
      <alignment horizontal="center" wrapText="1"/>
    </xf>
    <xf numFmtId="0" fontId="22" fillId="0" borderId="0" xfId="0" applyFont="1" applyAlignment="1">
      <alignment horizontal="center" wrapText="1"/>
    </xf>
    <xf numFmtId="0" fontId="20" fillId="0" borderId="2" xfId="0" applyFont="1" applyBorder="1" applyAlignment="1">
      <alignment horizontal="center" vertical="top" wrapText="1"/>
    </xf>
    <xf numFmtId="0" fontId="20" fillId="0" borderId="3" xfId="0" applyFont="1" applyBorder="1" applyAlignment="1">
      <alignment horizontal="center" vertical="top" wrapText="1"/>
    </xf>
    <xf numFmtId="0" fontId="20" fillId="0" borderId="5" xfId="0" applyFont="1" applyBorder="1" applyAlignment="1">
      <alignment horizontal="left" vertical="top" wrapText="1"/>
    </xf>
    <xf numFmtId="0" fontId="20" fillId="0" borderId="0" xfId="0" applyFont="1" applyAlignment="1">
      <alignment horizontal="left" vertical="top" wrapText="1"/>
    </xf>
    <xf numFmtId="0" fontId="13" fillId="0" borderId="9" xfId="0" applyFont="1" applyBorder="1" applyAlignment="1">
      <alignment horizontal="center" vertical="top" wrapText="1"/>
    </xf>
    <xf numFmtId="0" fontId="13" fillId="0" borderId="11" xfId="0" applyFont="1" applyBorder="1" applyAlignment="1">
      <alignment horizontal="center" vertical="top" wrapText="1"/>
    </xf>
    <xf numFmtId="0" fontId="13" fillId="0" borderId="12" xfId="0" applyFont="1" applyBorder="1" applyAlignment="1">
      <alignment horizontal="center" vertical="top" wrapText="1"/>
    </xf>
    <xf numFmtId="0" fontId="13" fillId="0" borderId="13" xfId="0" applyFont="1" applyBorder="1" applyAlignment="1">
      <alignment horizontal="center" vertical="top" wrapText="1"/>
    </xf>
    <xf numFmtId="0" fontId="13" fillId="0" borderId="5" xfId="0" applyFont="1" applyBorder="1" applyAlignment="1">
      <alignment horizontal="center" vertical="top" wrapText="1"/>
    </xf>
    <xf numFmtId="0" fontId="13" fillId="0" borderId="0" xfId="0" applyFont="1" applyAlignment="1">
      <alignment horizontal="center" vertical="top" wrapText="1"/>
    </xf>
    <xf numFmtId="0" fontId="13" fillId="0" borderId="6" xfId="0" applyFont="1" applyBorder="1" applyAlignment="1">
      <alignment horizontal="center" vertical="top" wrapText="1"/>
    </xf>
    <xf numFmtId="0" fontId="26" fillId="2" borderId="0" xfId="0" applyFont="1" applyFill="1" applyAlignment="1">
      <alignment horizontal="center"/>
    </xf>
    <xf numFmtId="0" fontId="25" fillId="2" borderId="0" xfId="0" applyFont="1" applyFill="1" applyAlignment="1">
      <alignment horizontal="center"/>
    </xf>
    <xf numFmtId="0" fontId="15" fillId="7" borderId="0" xfId="0" applyFont="1" applyFill="1" applyAlignment="1">
      <alignment horizontal="center" vertical="center" wrapText="1"/>
    </xf>
    <xf numFmtId="0" fontId="11" fillId="5" borderId="1" xfId="0" applyFont="1" applyFill="1" applyBorder="1" applyAlignment="1">
      <alignment horizontal="center" wrapText="1"/>
    </xf>
    <xf numFmtId="0" fontId="16" fillId="5" borderId="0" xfId="0" applyFont="1" applyFill="1" applyAlignment="1">
      <alignment horizontal="center"/>
    </xf>
    <xf numFmtId="2" fontId="9" fillId="5" borderId="0" xfId="0" applyNumberFormat="1" applyFont="1" applyFill="1" applyAlignment="1">
      <alignment horizontal="center"/>
    </xf>
    <xf numFmtId="0" fontId="11" fillId="6" borderId="1" xfId="0" applyFont="1" applyFill="1" applyBorder="1" applyAlignment="1">
      <alignment horizontal="center" vertical="center" wrapText="1"/>
    </xf>
    <xf numFmtId="0" fontId="15" fillId="5" borderId="21" xfId="0" applyFont="1" applyFill="1" applyBorder="1" applyAlignment="1">
      <alignment horizontal="center" vertical="center" wrapText="1"/>
    </xf>
    <xf numFmtId="0" fontId="15" fillId="5" borderId="22" xfId="0" applyFont="1" applyFill="1" applyBorder="1" applyAlignment="1">
      <alignment horizontal="center" vertical="center" wrapText="1"/>
    </xf>
    <xf numFmtId="0" fontId="15" fillId="5" borderId="23" xfId="0" applyFont="1" applyFill="1" applyBorder="1" applyAlignment="1">
      <alignment horizontal="center" vertical="center" wrapText="1"/>
    </xf>
    <xf numFmtId="0" fontId="20" fillId="0" borderId="2" xfId="0" applyFont="1"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19" xfId="0" applyFont="1" applyBorder="1" applyAlignment="1">
      <alignment horizontal="center" vertical="center"/>
    </xf>
    <xf numFmtId="0" fontId="20" fillId="0" borderId="20" xfId="0" applyFont="1" applyBorder="1" applyAlignment="1">
      <alignment horizontal="center" vertical="center"/>
    </xf>
    <xf numFmtId="0" fontId="20" fillId="0" borderId="18" xfId="0" applyFont="1" applyBorder="1" applyAlignment="1">
      <alignment horizontal="center" vertical="center"/>
    </xf>
    <xf numFmtId="0" fontId="20" fillId="0" borderId="0" xfId="0" applyFont="1" applyAlignment="1">
      <alignment horizontal="center" vertical="center" wrapText="1"/>
    </xf>
    <xf numFmtId="0" fontId="20" fillId="0" borderId="2"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8" xfId="0" applyFont="1" applyBorder="1" applyAlignment="1">
      <alignment horizontal="center" vertical="center" wrapText="1"/>
    </xf>
    <xf numFmtId="0" fontId="11" fillId="2" borderId="3" xfId="0" applyFont="1" applyFill="1" applyBorder="1" applyAlignment="1">
      <alignment horizontal="center"/>
    </xf>
    <xf numFmtId="0" fontId="11" fillId="2" borderId="19" xfId="0" applyFont="1" applyFill="1" applyBorder="1" applyAlignment="1">
      <alignment horizontal="center"/>
    </xf>
    <xf numFmtId="0" fontId="11" fillId="2" borderId="20" xfId="0" applyFont="1" applyFill="1" applyBorder="1" applyAlignment="1">
      <alignment horizontal="center"/>
    </xf>
    <xf numFmtId="0" fontId="11" fillId="2" borderId="18" xfId="0" applyFont="1" applyFill="1" applyBorder="1" applyAlignment="1">
      <alignment horizontal="center"/>
    </xf>
    <xf numFmtId="0" fontId="20" fillId="0" borderId="19" xfId="0" applyFont="1" applyBorder="1" applyAlignment="1">
      <alignment horizontal="center"/>
    </xf>
    <xf numFmtId="0" fontId="20" fillId="0" borderId="20" xfId="0" applyFont="1" applyBorder="1" applyAlignment="1">
      <alignment horizontal="center"/>
    </xf>
    <xf numFmtId="0" fontId="20" fillId="0" borderId="18" xfId="0" applyFont="1" applyBorder="1" applyAlignment="1">
      <alignment horizontal="center"/>
    </xf>
    <xf numFmtId="0" fontId="20" fillId="0" borderId="4" xfId="0" applyFont="1" applyBorder="1" applyAlignment="1">
      <alignment horizontal="center" vertical="top" wrapText="1"/>
    </xf>
    <xf numFmtId="0" fontId="20" fillId="0" borderId="7" xfId="0" applyFont="1" applyBorder="1" applyAlignment="1">
      <alignment horizontal="center" vertical="top" wrapText="1"/>
    </xf>
    <xf numFmtId="0" fontId="20" fillId="0" borderId="1" xfId="0" applyFont="1" applyBorder="1" applyAlignment="1">
      <alignment horizontal="center" vertical="top" wrapText="1"/>
    </xf>
    <xf numFmtId="0" fontId="20" fillId="0" borderId="8" xfId="0" applyFont="1" applyBorder="1" applyAlignment="1">
      <alignment horizontal="center" vertical="top" wrapText="1"/>
    </xf>
    <xf numFmtId="0" fontId="2" fillId="0" borderId="1" xfId="0" applyFont="1" applyBorder="1" applyAlignment="1">
      <alignment horizontal="center"/>
    </xf>
    <xf numFmtId="0" fontId="2" fillId="0" borderId="0" xfId="0" applyFont="1" applyAlignment="1">
      <alignment horizontal="center"/>
    </xf>
    <xf numFmtId="0" fontId="0" fillId="0" borderId="0" xfId="0" applyAlignment="1">
      <alignment horizontal="right"/>
    </xf>
    <xf numFmtId="0" fontId="13" fillId="0" borderId="2" xfId="0" applyFont="1" applyBorder="1" applyAlignment="1">
      <alignment horizontal="left" vertical="center"/>
    </xf>
    <xf numFmtId="0" fontId="13" fillId="0" borderId="3" xfId="0" applyFont="1" applyBorder="1" applyAlignment="1">
      <alignment horizontal="left" vertical="center"/>
    </xf>
  </cellXfs>
  <cellStyles count="4">
    <cellStyle name="Comma" xfId="1" builtinId="3"/>
    <cellStyle name="Currency" xfId="3" builtinId="4"/>
    <cellStyle name="Normal" xfId="0" builtinId="0"/>
    <cellStyle name="Percent" xfId="2" builtinId="5"/>
  </cellStyles>
  <dxfs count="1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FFFF"/>
      </font>
      <fill>
        <patternFill>
          <bgColor rgb="FF008000"/>
        </patternFill>
      </fill>
    </dxf>
    <dxf>
      <font>
        <color rgb="FF000000"/>
      </font>
      <fill>
        <patternFill>
          <bgColor rgb="FFC6D9F0"/>
        </patternFill>
      </fill>
    </dxf>
    <dxf>
      <font>
        <color rgb="FF000000"/>
      </font>
      <fill>
        <patternFill>
          <bgColor rgb="FFF2DCDB"/>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22/10/relationships/richValueRel" Target="richData/richValueRel.xml"/><Relationship Id="rId26" Type="http://schemas.microsoft.com/office/2006/relationships/vbaProject" Target="vbaProject.bin"/><Relationship Id="rId3" Type="http://schemas.openxmlformats.org/officeDocument/2006/relationships/worksheet" Target="worksheets/sheet3.xml"/><Relationship Id="rId21" Type="http://schemas.microsoft.com/office/2017/06/relationships/rdRichValueTypes" Target="richData/rdRichValueTyp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sharedStrings" Target="sharedStrings.xml"/><Relationship Id="rId20" Type="http://schemas.microsoft.com/office/2017/06/relationships/rdRichValueStructure" Target="richData/rdrichvaluestructure.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styles" Target="styles.xml"/><Relationship Id="rId23" Type="http://schemas.openxmlformats.org/officeDocument/2006/relationships/customXml" Target="../customXml/item1.xml"/><Relationship Id="rId10" Type="http://schemas.openxmlformats.org/officeDocument/2006/relationships/worksheet" Target="worksheets/sheet10.xml"/><Relationship Id="rId19" Type="http://schemas.microsoft.com/office/2017/06/relationships/rdRichValue" Target="richData/rdrichvalue.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 Id="rId22"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4</xdr:col>
      <xdr:colOff>274320</xdr:colOff>
      <xdr:row>36</xdr:row>
      <xdr:rowOff>45720</xdr:rowOff>
    </xdr:from>
    <xdr:to>
      <xdr:col>5</xdr:col>
      <xdr:colOff>1028700</xdr:colOff>
      <xdr:row>38</xdr:row>
      <xdr:rowOff>109728</xdr:rowOff>
    </xdr:to>
    <xdr:sp macro="[0]!cleardata" textlink="">
      <xdr:nvSpPr>
        <xdr:cNvPr id="2" name="Rectangle: Rounded Corners 1">
          <a:extLst>
            <a:ext uri="{FF2B5EF4-FFF2-40B4-BE49-F238E27FC236}">
              <a16:creationId xmlns:a16="http://schemas.microsoft.com/office/drawing/2014/main" id="{8098BC61-24B5-4EB0-B95E-6330535FB3C9}"/>
            </a:ext>
          </a:extLst>
        </xdr:cNvPr>
        <xdr:cNvSpPr/>
      </xdr:nvSpPr>
      <xdr:spPr>
        <a:xfrm>
          <a:off x="2712720" y="6629400"/>
          <a:ext cx="944880" cy="429768"/>
        </a:xfrm>
        <a:prstGeom prst="roundRect">
          <a:avLst/>
        </a:prstGeom>
        <a:solidFill>
          <a:schemeClr val="tx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2800"/>
            <a:t>Clear</a:t>
          </a:r>
        </a:p>
      </xdr:txBody>
    </xdr:sp>
    <xdr:clientData/>
  </xdr:twoCellAnchor>
  <xdr:twoCellAnchor>
    <xdr:from>
      <xdr:col>4</xdr:col>
      <xdr:colOff>274320</xdr:colOff>
      <xdr:row>32</xdr:row>
      <xdr:rowOff>76200</xdr:rowOff>
    </xdr:from>
    <xdr:to>
      <xdr:col>5</xdr:col>
      <xdr:colOff>1028700</xdr:colOff>
      <xdr:row>34</xdr:row>
      <xdr:rowOff>137160</xdr:rowOff>
    </xdr:to>
    <xdr:sp macro="[0]!resetdata" textlink="">
      <xdr:nvSpPr>
        <xdr:cNvPr id="3" name="Rectangle: Rounded Corners 2">
          <a:extLst>
            <a:ext uri="{FF2B5EF4-FFF2-40B4-BE49-F238E27FC236}">
              <a16:creationId xmlns:a16="http://schemas.microsoft.com/office/drawing/2014/main" id="{66E077A0-6C30-4682-8022-DAC52884DE44}"/>
            </a:ext>
          </a:extLst>
        </xdr:cNvPr>
        <xdr:cNvSpPr/>
      </xdr:nvSpPr>
      <xdr:spPr>
        <a:xfrm>
          <a:off x="2712720" y="5928360"/>
          <a:ext cx="944880" cy="426720"/>
        </a:xfrm>
        <a:prstGeom prst="roundRect">
          <a:avLst/>
        </a:prstGeom>
        <a:solidFill>
          <a:schemeClr val="tx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2800"/>
            <a:t>Reset</a:t>
          </a:r>
        </a:p>
      </xdr:txBody>
    </xdr:sp>
    <xdr:clientData/>
  </xdr:twoCellAnchor>
  <xdr:twoCellAnchor>
    <xdr:from>
      <xdr:col>3</xdr:col>
      <xdr:colOff>886409</xdr:colOff>
      <xdr:row>51</xdr:row>
      <xdr:rowOff>139960</xdr:rowOff>
    </xdr:from>
    <xdr:to>
      <xdr:col>6</xdr:col>
      <xdr:colOff>446635</xdr:colOff>
      <xdr:row>54</xdr:row>
      <xdr:rowOff>105342</xdr:rowOff>
    </xdr:to>
    <xdr:sp macro="[0]!changesheetinputs" textlink="">
      <xdr:nvSpPr>
        <xdr:cNvPr id="4" name="Rectangle: Rounded Corners 3">
          <a:extLst>
            <a:ext uri="{FF2B5EF4-FFF2-40B4-BE49-F238E27FC236}">
              <a16:creationId xmlns:a16="http://schemas.microsoft.com/office/drawing/2014/main" id="{BF793BCF-924A-4EC0-BADC-EE5706F59B79}"/>
            </a:ext>
          </a:extLst>
        </xdr:cNvPr>
        <xdr:cNvSpPr/>
      </xdr:nvSpPr>
      <xdr:spPr>
        <a:xfrm>
          <a:off x="2440889" y="9466840"/>
          <a:ext cx="1663346" cy="514022"/>
        </a:xfrm>
        <a:prstGeom prst="roundRect">
          <a:avLst/>
        </a:prstGeom>
        <a:solidFill>
          <a:schemeClr val="tx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2800"/>
            <a:t>Start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626267</xdr:colOff>
      <xdr:row>37</xdr:row>
      <xdr:rowOff>197428</xdr:rowOff>
    </xdr:from>
    <xdr:to>
      <xdr:col>4</xdr:col>
      <xdr:colOff>1619249</xdr:colOff>
      <xdr:row>42</xdr:row>
      <xdr:rowOff>0</xdr:rowOff>
    </xdr:to>
    <xdr:sp macro="" textlink="">
      <xdr:nvSpPr>
        <xdr:cNvPr id="2" name="Speech Bubble: Rectangle 1">
          <a:extLst>
            <a:ext uri="{FF2B5EF4-FFF2-40B4-BE49-F238E27FC236}">
              <a16:creationId xmlns:a16="http://schemas.microsoft.com/office/drawing/2014/main" id="{A1A6F307-3D51-D15F-B9D7-CFFC4BEC26C4}"/>
            </a:ext>
          </a:extLst>
        </xdr:cNvPr>
        <xdr:cNvSpPr/>
      </xdr:nvSpPr>
      <xdr:spPr>
        <a:xfrm>
          <a:off x="10722767" y="9305709"/>
          <a:ext cx="3898107" cy="993197"/>
        </a:xfrm>
        <a:prstGeom prst="wedgeRectCallout">
          <a:avLst>
            <a:gd name="adj1" fmla="val -65471"/>
            <a:gd name="adj2" fmla="val -36559"/>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en-US" sz="1400" b="1" i="0" u="none" strike="noStrike">
              <a:solidFill>
                <a:schemeClr val="lt1"/>
              </a:solidFill>
              <a:effectLst/>
              <a:latin typeface="+mn-lt"/>
              <a:ea typeface="+mn-ea"/>
              <a:cs typeface="+mn-cs"/>
            </a:rPr>
            <a:t>Don't have the cost per square footage? Enter the total cost of processing facility and aging room in the grey cell below:</a:t>
          </a:r>
          <a:endParaRPr lang="en-US" sz="1400" b="1"/>
        </a:p>
      </xdr:txBody>
    </xdr:sp>
    <xdr:clientData/>
  </xdr:twoCellAnchor>
  <xdr:twoCellAnchor>
    <xdr:from>
      <xdr:col>2</xdr:col>
      <xdr:colOff>655058</xdr:colOff>
      <xdr:row>43</xdr:row>
      <xdr:rowOff>119061</xdr:rowOff>
    </xdr:from>
    <xdr:to>
      <xdr:col>4</xdr:col>
      <xdr:colOff>1595436</xdr:colOff>
      <xdr:row>47</xdr:row>
      <xdr:rowOff>204138</xdr:rowOff>
    </xdr:to>
    <xdr:sp macro="[0]!changesheetcwtcalc" textlink="">
      <xdr:nvSpPr>
        <xdr:cNvPr id="3" name="Speech Bubble: Rectangle 2">
          <a:extLst>
            <a:ext uri="{FF2B5EF4-FFF2-40B4-BE49-F238E27FC236}">
              <a16:creationId xmlns:a16="http://schemas.microsoft.com/office/drawing/2014/main" id="{A9393604-A50D-4E6C-BB27-4B1B80202B4D}"/>
            </a:ext>
          </a:extLst>
        </xdr:cNvPr>
        <xdr:cNvSpPr/>
      </xdr:nvSpPr>
      <xdr:spPr>
        <a:xfrm>
          <a:off x="10751558" y="10656092"/>
          <a:ext cx="3845503" cy="1037577"/>
        </a:xfrm>
        <a:prstGeom prst="wedgeRectCallout">
          <a:avLst>
            <a:gd name="adj1" fmla="val -66347"/>
            <a:gd name="adj2" fmla="val -25175"/>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en-US" sz="1400" b="1" i="0" u="none" strike="noStrike">
              <a:solidFill>
                <a:schemeClr val="lt1"/>
              </a:solidFill>
              <a:effectLst/>
              <a:latin typeface="+mn-lt"/>
              <a:ea typeface="+mn-ea"/>
              <a:cs typeface="+mn-cs"/>
            </a:rPr>
            <a:t>Click here to calculate your</a:t>
          </a:r>
          <a:r>
            <a:rPr lang="en-US" sz="1400" b="1" i="0" u="none" strike="noStrike" baseline="0">
              <a:solidFill>
                <a:schemeClr val="lt1"/>
              </a:solidFill>
              <a:effectLst/>
              <a:latin typeface="+mn-lt"/>
              <a:ea typeface="+mn-ea"/>
              <a:cs typeface="+mn-cs"/>
            </a:rPr>
            <a:t> costs per CWT. Once entered, return to this page to see your "utilities per CWT" and "Other Costs per CWT." Enter the values from G46 and G47 into B46 and B47</a:t>
          </a:r>
        </a:p>
      </xdr:txBody>
    </xdr:sp>
    <xdr:clientData/>
  </xdr:twoCellAnchor>
  <xdr:twoCellAnchor>
    <xdr:from>
      <xdr:col>2</xdr:col>
      <xdr:colOff>4922</xdr:colOff>
      <xdr:row>161</xdr:row>
      <xdr:rowOff>18415</xdr:rowOff>
    </xdr:from>
    <xdr:to>
      <xdr:col>3</xdr:col>
      <xdr:colOff>1019969</xdr:colOff>
      <xdr:row>163</xdr:row>
      <xdr:rowOff>82423</xdr:rowOff>
    </xdr:to>
    <xdr:sp macro="[0]!cleardata" textlink="">
      <xdr:nvSpPr>
        <xdr:cNvPr id="8" name="Rectangle: Rounded Corners 7">
          <a:extLst>
            <a:ext uri="{FF2B5EF4-FFF2-40B4-BE49-F238E27FC236}">
              <a16:creationId xmlns:a16="http://schemas.microsoft.com/office/drawing/2014/main" id="{478A6383-1512-4EB2-AA2B-4B25D567A6B8}"/>
            </a:ext>
          </a:extLst>
        </xdr:cNvPr>
        <xdr:cNvSpPr/>
      </xdr:nvSpPr>
      <xdr:spPr>
        <a:xfrm>
          <a:off x="10101422" y="39785290"/>
          <a:ext cx="2658110" cy="540258"/>
        </a:xfrm>
        <a:prstGeom prst="roundRect">
          <a:avLst/>
        </a:prstGeom>
        <a:solidFill>
          <a:schemeClr val="tx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2800"/>
            <a:t>Clear</a:t>
          </a:r>
        </a:p>
      </xdr:txBody>
    </xdr:sp>
    <xdr:clientData/>
  </xdr:twoCellAnchor>
  <xdr:twoCellAnchor>
    <xdr:from>
      <xdr:col>2</xdr:col>
      <xdr:colOff>4922</xdr:colOff>
      <xdr:row>157</xdr:row>
      <xdr:rowOff>48895</xdr:rowOff>
    </xdr:from>
    <xdr:to>
      <xdr:col>3</xdr:col>
      <xdr:colOff>1019969</xdr:colOff>
      <xdr:row>159</xdr:row>
      <xdr:rowOff>109855</xdr:rowOff>
    </xdr:to>
    <xdr:sp macro="[0]!resetdata" textlink="">
      <xdr:nvSpPr>
        <xdr:cNvPr id="9" name="Rectangle: Rounded Corners 8">
          <a:extLst>
            <a:ext uri="{FF2B5EF4-FFF2-40B4-BE49-F238E27FC236}">
              <a16:creationId xmlns:a16="http://schemas.microsoft.com/office/drawing/2014/main" id="{01ACB409-4FE7-4ED6-A853-A892A57C5EF2}"/>
            </a:ext>
          </a:extLst>
        </xdr:cNvPr>
        <xdr:cNvSpPr/>
      </xdr:nvSpPr>
      <xdr:spPr>
        <a:xfrm>
          <a:off x="10101422" y="38803739"/>
          <a:ext cx="2658110" cy="537210"/>
        </a:xfrm>
        <a:prstGeom prst="roundRect">
          <a:avLst/>
        </a:prstGeom>
        <a:solidFill>
          <a:schemeClr val="tx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2800"/>
            <a:t>Reset</a:t>
          </a:r>
        </a:p>
      </xdr:txBody>
    </xdr:sp>
    <xdr:clientData/>
  </xdr:twoCellAnchor>
  <xdr:twoCellAnchor>
    <xdr:from>
      <xdr:col>1</xdr:col>
      <xdr:colOff>3427254</xdr:colOff>
      <xdr:row>166</xdr:row>
      <xdr:rowOff>23495</xdr:rowOff>
    </xdr:from>
    <xdr:to>
      <xdr:col>3</xdr:col>
      <xdr:colOff>1018332</xdr:colOff>
      <xdr:row>168</xdr:row>
      <xdr:rowOff>87504</xdr:rowOff>
    </xdr:to>
    <xdr:sp macro="[0]!changesheetoutputs" textlink="">
      <xdr:nvSpPr>
        <xdr:cNvPr id="10" name="Rectangle: Rounded Corners 9">
          <a:extLst>
            <a:ext uri="{FF2B5EF4-FFF2-40B4-BE49-F238E27FC236}">
              <a16:creationId xmlns:a16="http://schemas.microsoft.com/office/drawing/2014/main" id="{4D12014E-1EA0-49A2-BC34-6570A170ED78}"/>
            </a:ext>
          </a:extLst>
        </xdr:cNvPr>
        <xdr:cNvSpPr/>
      </xdr:nvSpPr>
      <xdr:spPr>
        <a:xfrm>
          <a:off x="10070942" y="41040526"/>
          <a:ext cx="2686953" cy="540259"/>
        </a:xfrm>
        <a:prstGeom prst="roundRect">
          <a:avLst/>
        </a:prstGeom>
        <a:solidFill>
          <a:schemeClr val="tx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2800"/>
            <a:t>Next Page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657225</xdr:colOff>
      <xdr:row>17</xdr:row>
      <xdr:rowOff>161925</xdr:rowOff>
    </xdr:from>
    <xdr:to>
      <xdr:col>3</xdr:col>
      <xdr:colOff>29478</xdr:colOff>
      <xdr:row>19</xdr:row>
      <xdr:rowOff>225934</xdr:rowOff>
    </xdr:to>
    <xdr:sp macro="[0]!fromCWTtoInputs" textlink="">
      <xdr:nvSpPr>
        <xdr:cNvPr id="2" name="Rectangle: Rounded Corners 1">
          <a:extLst>
            <a:ext uri="{FF2B5EF4-FFF2-40B4-BE49-F238E27FC236}">
              <a16:creationId xmlns:a16="http://schemas.microsoft.com/office/drawing/2014/main" id="{9546A146-F09D-4319-BF61-0CE92269AECA}"/>
            </a:ext>
          </a:extLst>
        </xdr:cNvPr>
        <xdr:cNvSpPr/>
      </xdr:nvSpPr>
      <xdr:spPr>
        <a:xfrm>
          <a:off x="3333750" y="4448175"/>
          <a:ext cx="2686953" cy="540259"/>
        </a:xfrm>
        <a:prstGeom prst="roundRect">
          <a:avLst/>
        </a:prstGeom>
        <a:solidFill>
          <a:schemeClr val="tx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2800"/>
            <a:t>Back</a:t>
          </a:r>
          <a:r>
            <a:rPr lang="en-US" sz="2800" baseline="0"/>
            <a:t> to 'Inputs'</a:t>
          </a:r>
          <a:endParaRPr lang="en-US" sz="28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3875240</xdr:colOff>
      <xdr:row>29</xdr:row>
      <xdr:rowOff>182647</xdr:rowOff>
    </xdr:from>
    <xdr:to>
      <xdr:col>4</xdr:col>
      <xdr:colOff>3202775</xdr:colOff>
      <xdr:row>31</xdr:row>
      <xdr:rowOff>192097</xdr:rowOff>
    </xdr:to>
    <xdr:sp macro="[0]!changesheetequipmentlist" textlink="">
      <xdr:nvSpPr>
        <xdr:cNvPr id="2" name="Rectangle: Rounded Corners 1">
          <a:extLst>
            <a:ext uri="{FF2B5EF4-FFF2-40B4-BE49-F238E27FC236}">
              <a16:creationId xmlns:a16="http://schemas.microsoft.com/office/drawing/2014/main" id="{0DB4298F-0D84-425C-A1C6-63848ED5E638}"/>
            </a:ext>
          </a:extLst>
        </xdr:cNvPr>
        <xdr:cNvSpPr/>
      </xdr:nvSpPr>
      <xdr:spPr>
        <a:xfrm>
          <a:off x="10295090" y="7078747"/>
          <a:ext cx="4937760" cy="542850"/>
        </a:xfrm>
        <a:prstGeom prst="roundRect">
          <a:avLst/>
        </a:prstGeom>
        <a:solidFill>
          <a:schemeClr val="tx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2800"/>
            <a:t>See 'Equipment List'</a:t>
          </a:r>
        </a:p>
      </xdr:txBody>
    </xdr:sp>
    <xdr:clientData/>
  </xdr:twoCellAnchor>
  <xdr:twoCellAnchor>
    <xdr:from>
      <xdr:col>2</xdr:col>
      <xdr:colOff>1219200</xdr:colOff>
      <xdr:row>29</xdr:row>
      <xdr:rowOff>184171</xdr:rowOff>
    </xdr:from>
    <xdr:to>
      <xdr:col>3</xdr:col>
      <xdr:colOff>3241170</xdr:colOff>
      <xdr:row>31</xdr:row>
      <xdr:rowOff>190573</xdr:rowOff>
    </xdr:to>
    <xdr:sp macro="[0]!changesheetsuggestedequipment" textlink="">
      <xdr:nvSpPr>
        <xdr:cNvPr id="3" name="Rectangle: Rounded Corners 2">
          <a:extLst>
            <a:ext uri="{FF2B5EF4-FFF2-40B4-BE49-F238E27FC236}">
              <a16:creationId xmlns:a16="http://schemas.microsoft.com/office/drawing/2014/main" id="{A0F70D52-9A72-4641-8B8E-0401EC96CB11}"/>
            </a:ext>
          </a:extLst>
        </xdr:cNvPr>
        <xdr:cNvSpPr/>
      </xdr:nvSpPr>
      <xdr:spPr>
        <a:xfrm>
          <a:off x="4724400" y="7080271"/>
          <a:ext cx="4936620" cy="539802"/>
        </a:xfrm>
        <a:prstGeom prst="roundRect">
          <a:avLst/>
        </a:prstGeom>
        <a:solidFill>
          <a:schemeClr val="tx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2800"/>
            <a:t>See</a:t>
          </a:r>
          <a:r>
            <a:rPr lang="en-US" sz="2800" baseline="0"/>
            <a:t> 'Suggested Equipment'</a:t>
          </a:r>
        </a:p>
      </xdr:txBody>
    </xdr:sp>
    <xdr:clientData/>
  </xdr:twoCellAnchor>
  <xdr:twoCellAnchor>
    <xdr:from>
      <xdr:col>3</xdr:col>
      <xdr:colOff>1019697</xdr:colOff>
      <xdr:row>41</xdr:row>
      <xdr:rowOff>30288</xdr:rowOff>
    </xdr:from>
    <xdr:to>
      <xdr:col>4</xdr:col>
      <xdr:colOff>347232</xdr:colOff>
      <xdr:row>43</xdr:row>
      <xdr:rowOff>102369</xdr:rowOff>
    </xdr:to>
    <xdr:sp macro="[0]!changebacktobegin" textlink="">
      <xdr:nvSpPr>
        <xdr:cNvPr id="4" name="Rectangle: Rounded Corners 3">
          <a:extLst>
            <a:ext uri="{FF2B5EF4-FFF2-40B4-BE49-F238E27FC236}">
              <a16:creationId xmlns:a16="http://schemas.microsoft.com/office/drawing/2014/main" id="{06B4DAFA-831B-4B22-970C-6A78AC2AEF1B}"/>
            </a:ext>
          </a:extLst>
        </xdr:cNvPr>
        <xdr:cNvSpPr/>
      </xdr:nvSpPr>
      <xdr:spPr>
        <a:xfrm>
          <a:off x="7439547" y="9869613"/>
          <a:ext cx="4937760" cy="548331"/>
        </a:xfrm>
        <a:prstGeom prst="roundRect">
          <a:avLst/>
        </a:prstGeom>
        <a:solidFill>
          <a:schemeClr val="tx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2800"/>
            <a:t>Return to</a:t>
          </a:r>
          <a:r>
            <a:rPr lang="en-US" sz="2800" baseline="0"/>
            <a:t> 'Instructions'</a:t>
          </a:r>
          <a:endParaRPr lang="en-US" sz="2800"/>
        </a:p>
      </xdr:txBody>
    </xdr:sp>
    <xdr:clientData/>
  </xdr:twoCellAnchor>
  <xdr:twoCellAnchor>
    <xdr:from>
      <xdr:col>3</xdr:col>
      <xdr:colOff>1014942</xdr:colOff>
      <xdr:row>36</xdr:row>
      <xdr:rowOff>31750</xdr:rowOff>
    </xdr:from>
    <xdr:to>
      <xdr:col>4</xdr:col>
      <xdr:colOff>342477</xdr:colOff>
      <xdr:row>38</xdr:row>
      <xdr:rowOff>104902</xdr:rowOff>
    </xdr:to>
    <xdr:sp macro="[0]!exporttoonepdf" textlink="">
      <xdr:nvSpPr>
        <xdr:cNvPr id="5" name="Rectangle: Rounded Corners 4">
          <a:extLst>
            <a:ext uri="{FF2B5EF4-FFF2-40B4-BE49-F238E27FC236}">
              <a16:creationId xmlns:a16="http://schemas.microsoft.com/office/drawing/2014/main" id="{36909748-D979-4597-938E-9375CC609652}"/>
            </a:ext>
          </a:extLst>
        </xdr:cNvPr>
        <xdr:cNvSpPr/>
      </xdr:nvSpPr>
      <xdr:spPr>
        <a:xfrm>
          <a:off x="7434792" y="8623300"/>
          <a:ext cx="4937760" cy="549402"/>
        </a:xfrm>
        <a:prstGeom prst="roundRect">
          <a:avLst/>
        </a:prstGeom>
        <a:solidFill>
          <a:schemeClr val="tx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2800"/>
            <a:t>Export</a:t>
          </a:r>
          <a:r>
            <a:rPr lang="en-US" sz="2800" baseline="0"/>
            <a:t> to PDF</a:t>
          </a:r>
          <a:endParaRPr lang="en-US" sz="28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1491004</xdr:colOff>
      <xdr:row>37</xdr:row>
      <xdr:rowOff>104314</xdr:rowOff>
    </xdr:from>
    <xdr:to>
      <xdr:col>4</xdr:col>
      <xdr:colOff>332150</xdr:colOff>
      <xdr:row>39</xdr:row>
      <xdr:rowOff>113765</xdr:rowOff>
    </xdr:to>
    <xdr:sp macro="[0]!changesheetequipmentlist" textlink="">
      <xdr:nvSpPr>
        <xdr:cNvPr id="2" name="Rectangle: Rounded Corners 1">
          <a:extLst>
            <a:ext uri="{FF2B5EF4-FFF2-40B4-BE49-F238E27FC236}">
              <a16:creationId xmlns:a16="http://schemas.microsoft.com/office/drawing/2014/main" id="{63FF4D22-8746-45D4-BE48-078A21E9DC08}"/>
            </a:ext>
          </a:extLst>
        </xdr:cNvPr>
        <xdr:cNvSpPr/>
      </xdr:nvSpPr>
      <xdr:spPr>
        <a:xfrm>
          <a:off x="10987429" y="8886364"/>
          <a:ext cx="4356121" cy="542851"/>
        </a:xfrm>
        <a:prstGeom prst="roundRect">
          <a:avLst/>
        </a:prstGeom>
        <a:solidFill>
          <a:schemeClr val="tx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2800"/>
            <a:t>See 'Equipment List'</a:t>
          </a:r>
        </a:p>
      </xdr:txBody>
    </xdr:sp>
    <xdr:clientData/>
  </xdr:twoCellAnchor>
  <xdr:twoCellAnchor>
    <xdr:from>
      <xdr:col>1</xdr:col>
      <xdr:colOff>1559087</xdr:colOff>
      <xdr:row>37</xdr:row>
      <xdr:rowOff>105838</xdr:rowOff>
    </xdr:from>
    <xdr:to>
      <xdr:col>2</xdr:col>
      <xdr:colOff>420278</xdr:colOff>
      <xdr:row>39</xdr:row>
      <xdr:rowOff>112241</xdr:rowOff>
    </xdr:to>
    <xdr:sp macro="[0]!changesheetoutputs" textlink="">
      <xdr:nvSpPr>
        <xdr:cNvPr id="3" name="Rectangle: Rounded Corners 2">
          <a:extLst>
            <a:ext uri="{FF2B5EF4-FFF2-40B4-BE49-F238E27FC236}">
              <a16:creationId xmlns:a16="http://schemas.microsoft.com/office/drawing/2014/main" id="{84E2DE28-6413-40F7-BCE9-FC766C4341D9}"/>
            </a:ext>
          </a:extLst>
        </xdr:cNvPr>
        <xdr:cNvSpPr/>
      </xdr:nvSpPr>
      <xdr:spPr>
        <a:xfrm>
          <a:off x="5673887" y="8887888"/>
          <a:ext cx="4242816" cy="539803"/>
        </a:xfrm>
        <a:prstGeom prst="roundRect">
          <a:avLst/>
        </a:prstGeom>
        <a:solidFill>
          <a:schemeClr val="tx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2800"/>
            <a:t>Return to 'Outputs'</a:t>
          </a:r>
          <a:endParaRPr lang="en-US" sz="2800" baseline="0"/>
        </a:p>
      </xdr:txBody>
    </xdr:sp>
    <xdr:clientData/>
  </xdr:twoCellAnchor>
  <xdr:twoCellAnchor>
    <xdr:from>
      <xdr:col>1</xdr:col>
      <xdr:colOff>4676728</xdr:colOff>
      <xdr:row>43</xdr:row>
      <xdr:rowOff>60996</xdr:rowOff>
    </xdr:from>
    <xdr:to>
      <xdr:col>3</xdr:col>
      <xdr:colOff>2259110</xdr:colOff>
      <xdr:row>45</xdr:row>
      <xdr:rowOff>133077</xdr:rowOff>
    </xdr:to>
    <xdr:sp macro="[0]!changebacktobegin" textlink="">
      <xdr:nvSpPr>
        <xdr:cNvPr id="4" name="Rectangle: Rounded Corners 3">
          <a:extLst>
            <a:ext uri="{FF2B5EF4-FFF2-40B4-BE49-F238E27FC236}">
              <a16:creationId xmlns:a16="http://schemas.microsoft.com/office/drawing/2014/main" id="{A22DAFE8-278F-4488-B087-4E1AC04DC5AA}"/>
            </a:ext>
          </a:extLst>
        </xdr:cNvPr>
        <xdr:cNvSpPr/>
      </xdr:nvSpPr>
      <xdr:spPr>
        <a:xfrm>
          <a:off x="8791528" y="10386096"/>
          <a:ext cx="4783282" cy="548331"/>
        </a:xfrm>
        <a:prstGeom prst="roundRect">
          <a:avLst/>
        </a:prstGeom>
        <a:solidFill>
          <a:schemeClr val="tx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2800"/>
            <a:t>Return to</a:t>
          </a:r>
          <a:r>
            <a:rPr lang="en-US" sz="2800" baseline="0"/>
            <a:t> 'Instructions'</a:t>
          </a:r>
          <a:endParaRPr lang="en-US" sz="28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858704</xdr:colOff>
      <xdr:row>164</xdr:row>
      <xdr:rowOff>78029</xdr:rowOff>
    </xdr:from>
    <xdr:to>
      <xdr:col>4</xdr:col>
      <xdr:colOff>2476500</xdr:colOff>
      <xdr:row>166</xdr:row>
      <xdr:rowOff>87480</xdr:rowOff>
    </xdr:to>
    <xdr:sp macro="[0]!changesheetsuggestedequipment" textlink="">
      <xdr:nvSpPr>
        <xdr:cNvPr id="2" name="Rectangle: Rounded Corners 1">
          <a:extLst>
            <a:ext uri="{FF2B5EF4-FFF2-40B4-BE49-F238E27FC236}">
              <a16:creationId xmlns:a16="http://schemas.microsoft.com/office/drawing/2014/main" id="{CDE77726-F2F3-4EC5-8E76-BC6064DD85A9}"/>
            </a:ext>
          </a:extLst>
        </xdr:cNvPr>
        <xdr:cNvSpPr/>
      </xdr:nvSpPr>
      <xdr:spPr>
        <a:xfrm>
          <a:off x="9421679" y="39016229"/>
          <a:ext cx="6551746" cy="542851"/>
        </a:xfrm>
        <a:prstGeom prst="roundRect">
          <a:avLst/>
        </a:prstGeom>
        <a:solidFill>
          <a:schemeClr val="tx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2800"/>
            <a:t>Return to 'Suggested Equipment'</a:t>
          </a:r>
        </a:p>
      </xdr:txBody>
    </xdr:sp>
    <xdr:clientData/>
  </xdr:twoCellAnchor>
  <xdr:twoCellAnchor>
    <xdr:from>
      <xdr:col>0</xdr:col>
      <xdr:colOff>2820253</xdr:colOff>
      <xdr:row>164</xdr:row>
      <xdr:rowOff>70028</xdr:rowOff>
    </xdr:from>
    <xdr:to>
      <xdr:col>2</xdr:col>
      <xdr:colOff>227999</xdr:colOff>
      <xdr:row>166</xdr:row>
      <xdr:rowOff>76431</xdr:rowOff>
    </xdr:to>
    <xdr:sp macro="[0]!changesheetoutputs" textlink="">
      <xdr:nvSpPr>
        <xdr:cNvPr id="3" name="Rectangle: Rounded Corners 2">
          <a:extLst>
            <a:ext uri="{FF2B5EF4-FFF2-40B4-BE49-F238E27FC236}">
              <a16:creationId xmlns:a16="http://schemas.microsoft.com/office/drawing/2014/main" id="{A96B8C42-68A7-4DA4-8BAE-161C7D7E9C05}"/>
            </a:ext>
          </a:extLst>
        </xdr:cNvPr>
        <xdr:cNvSpPr/>
      </xdr:nvSpPr>
      <xdr:spPr>
        <a:xfrm>
          <a:off x="2820253" y="39008228"/>
          <a:ext cx="5970721" cy="539803"/>
        </a:xfrm>
        <a:prstGeom prst="roundRect">
          <a:avLst/>
        </a:prstGeom>
        <a:solidFill>
          <a:schemeClr val="tx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2800"/>
            <a:t>Return to 'Outputs'</a:t>
          </a:r>
          <a:endParaRPr lang="en-US" sz="2800" baseline="0"/>
        </a:p>
      </xdr:txBody>
    </xdr:sp>
    <xdr:clientData/>
  </xdr:twoCellAnchor>
  <xdr:twoCellAnchor>
    <xdr:from>
      <xdr:col>1</xdr:col>
      <xdr:colOff>1706361</xdr:colOff>
      <xdr:row>170</xdr:row>
      <xdr:rowOff>28984</xdr:rowOff>
    </xdr:from>
    <xdr:to>
      <xdr:col>3</xdr:col>
      <xdr:colOff>595746</xdr:colOff>
      <xdr:row>172</xdr:row>
      <xdr:rowOff>101065</xdr:rowOff>
    </xdr:to>
    <xdr:sp macro="[0]!changebacktobegin" textlink="">
      <xdr:nvSpPr>
        <xdr:cNvPr id="4" name="Rectangle: Rounded Corners 3">
          <a:extLst>
            <a:ext uri="{FF2B5EF4-FFF2-40B4-BE49-F238E27FC236}">
              <a16:creationId xmlns:a16="http://schemas.microsoft.com/office/drawing/2014/main" id="{BD20C4B3-5A8B-465D-9237-CDCCA1EFFEC2}"/>
            </a:ext>
          </a:extLst>
        </xdr:cNvPr>
        <xdr:cNvSpPr/>
      </xdr:nvSpPr>
      <xdr:spPr>
        <a:xfrm>
          <a:off x="6687936" y="40510234"/>
          <a:ext cx="4937760" cy="548331"/>
        </a:xfrm>
        <a:prstGeom prst="roundRect">
          <a:avLst/>
        </a:prstGeom>
        <a:solidFill>
          <a:schemeClr val="tx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2800"/>
            <a:t>Return to</a:t>
          </a:r>
          <a:r>
            <a:rPr lang="en-US" sz="2800" baseline="0"/>
            <a:t> 'Instructions'</a:t>
          </a:r>
          <a:endParaRPr lang="en-US" sz="2800"/>
        </a:p>
      </xdr:txBody>
    </xdr:sp>
    <xdr:clientData/>
  </xdr:twoCellAnchor>
</xdr:wsDr>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3">
  <rv s="0">
    <v>0</v>
    <v>5</v>
  </rv>
  <rv s="0">
    <v>1</v>
    <v>5</v>
  </rv>
  <rv s="0">
    <v>2</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7">
    <wetp:webextensionref xmlns:r="http://schemas.openxmlformats.org/officeDocument/2006/relationships" r:id="rId1"/>
  </wetp:taskpane>
</wetp:taskpanes>
</file>

<file path=xl/webextensions/webextension1.xml><?xml version="1.0" encoding="utf-8"?>
<we:webextension xmlns:we="http://schemas.microsoft.com/office/webextensions/webextension/2010/11" id="{4AE19FDE-7D68-42E3-BDF0-F85CF31713D6}">
  <we:reference id="0986d9dd-94f1-4b67-978d-c4cf6e6142a8" version="21.5.1.1" store="EXCatalog" storeType="EXCatalog"/>
  <we:alternateReferences>
    <we:reference id="WA200000018" version="21.5.1.1" store="en-US"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PsiNormal</we:customFunctionIds>
        <we:customFunctionIds>PsiBernoulli</we:customFunctionIds>
        <we:customFunctionIds>PsiBeta</we:customFunctionIds>
        <we:customFunctionIds>PsiBetaGen</we:customFunctionIds>
        <we:customFunctionIds>PsiBetaSubj</we:customFunctionIds>
        <we:customFunctionIds>PsiBinomial</we:customFunctionIds>
        <we:customFunctionIds>PsiCauchy</we:customFunctionIds>
        <we:customFunctionIds>PsiChiSquare</we:customFunctionIds>
        <we:customFunctionIds>PsiCumul</we:customFunctionIds>
        <we:customFunctionIds>PsiCumulD</we:customFunctionIds>
        <we:customFunctionIds>PsiDiscrete</we:customFunctionIds>
        <we:customFunctionIds>PsiDisUniform</we:customFunctionIds>
        <we:customFunctionIds>PsiErf</we:customFunctionIds>
        <we:customFunctionIds>PsiErlang</we:customFunctionIds>
        <we:customFunctionIds>PsiExponential</we:customFunctionIds>
        <we:customFunctionIds>PsiGamma</we:customFunctionIds>
        <we:customFunctionIds>PsiGeneral</we:customFunctionIds>
        <we:customFunctionIds>PsiGeometric</we:customFunctionIds>
        <we:customFunctionIds>PsiHistogram</we:customFunctionIds>
        <we:customFunctionIds>PsiHyperGeo</we:customFunctionIds>
        <we:customFunctionIds>PsiIntUniform</we:customFunctionIds>
        <we:customFunctionIds>PsiInvNormal</we:customFunctionIds>
        <we:customFunctionIds>PsiLaplace</we:customFunctionIds>
        <we:customFunctionIds>PsiLogarithmic</we:customFunctionIds>
        <we:customFunctionIds>PsiLogistic</we:customFunctionIds>
        <we:customFunctionIds>PsiLogLogistic</we:customFunctionIds>
        <we:customFunctionIds>PsiLogNormal</we:customFunctionIds>
        <we:customFunctionIds>PsiLogNorm2</we:customFunctionIds>
        <we:customFunctionIds>PsiMaxExtreme</we:customFunctionIds>
        <we:customFunctionIds>PsiMinExtreme</we:customFunctionIds>
        <we:customFunctionIds>PsiMyerson</we:customFunctionIds>
        <we:customFunctionIds>PsiNegBinomial</we:customFunctionIds>
        <we:customFunctionIds>PsiNormalSkew</we:customFunctionIds>
        <we:customFunctionIds>PsiPareto</we:customFunctionIds>
        <we:customFunctionIds>PsiPareto2</we:customFunctionIds>
        <we:customFunctionIds>PsiPearson5</we:customFunctionIds>
        <we:customFunctionIds>PsiPearson6</we:customFunctionIds>
        <we:customFunctionIds>PsiPert</we:customFunctionIds>
        <we:customFunctionIds>PsiPoisson</we:customFunctionIds>
        <we:customFunctionIds>PsiRayleigh</we:customFunctionIds>
        <we:customFunctionIds>PsiStudent</we:customFunctionIds>
        <we:customFunctionIds>PsiTriangular</we:customFunctionIds>
        <we:customFunctionIds>PsiTriangGen</we:customFunctionIds>
        <we:customFunctionIds>PsiUniform</we:customFunctionIds>
        <we:customFunctionIds>PsiWeibull</we:customFunctionIds>
        <we:customFunctionIds>PsiBurr12</we:customFunctionIds>
        <we:customFunctionIds>PsiDagum</we:customFunctionIds>
        <we:customFunctionIds>PsiDblTriang</we:customFunctionIds>
        <we:customFunctionIds>PsiFdist</we:customFunctionIds>
        <we:customFunctionIds>PsiFatigueLife</we:customFunctionIds>
        <we:customFunctionIds>PsiFrechet</we:customFunctionIds>
        <we:customFunctionIds>PsiHypSecant</we:customFunctionIds>
        <we:customFunctionIds>PsiJohnsonSB</we:customFunctionIds>
        <we:customFunctionIds>PsiJohnsonSU</we:customFunctionIds>
        <we:customFunctionIds>PsiKumaraswamy</we:customFunctionIds>
        <we:customFunctionIds>PsiLevy</we:customFunctionIds>
        <we:customFunctionIds>PsiReciprocal</we:customFunctionIds>
        <we:customFunctionIds>PsiVary</we:customFunctionIds>
        <we:customFunctionIds>PsiMVLogNormal</we:customFunctionIds>
        <we:customFunctionIds>PsiMVNormal</we:customFunctionIds>
        <we:customFunctionIds>PsiMVResample</we:customFunctionIds>
        <we:customFunctionIds>PsiMVShuffle</we:customFunctionIds>
        <we:customFunctionIds>PsiMean</we:customFunctionIds>
        <we:customFunctionIds>PsiTheoMean</we:customFunctionIds>
        <we:customFunctionIds>PsiLock</we:customFunctionIds>
        <we:customFunctionIds>PsiName</we:customFunctionIds>
        <we:customFunctionIds>PsiShift</we:customFunctionIds>
        <we:customFunctionIds>PsiSample</we:customFunctionIds>
        <we:customFunctionIds>PsiTruncate</we:customFunctionIds>
        <we:customFunctionIds>PsiSeed</we:customFunctionIds>
        <we:customFunctionIds>PsiSixSigma</we:customFunctionIds>
        <we:customFunctionIds>PsiTSSync</we:customFunctionIds>
        <we:customFunctionIds>PsiConvergence</we:customFunctionIds>
        <we:customFunctionIds>PsiIsDate</we:customFunctionIds>
        <we:customFunctionIds>PsiIsDiscrete</we:customFunctionIds>
        <we:customFunctionIds>PsiLibrary</we:customFunctionIds>
        <we:customFunctionIds>PsiFitInfo</we:customFunctionIds>
        <we:customFunctionIds>PsiOutput</we:customFunctionIds>
        <we:customFunctionIds>PsiInput</we:customFunctionIds>
        <we:customFunctionIds>PsiSimParam</we:customFunctionIds>
        <we:customFunctionIds>PsiSenParam</we:customFunctionIds>
        <we:customFunctionIds>PsiOptParam</we:customFunctionIds>
        <we:customFunctionIds>PsiCalcParam</we:customFunctionIds>
        <we:customFunctionIds>PsiSlurp</we:customFunctionIds>
        <we:customFunctionIds>PsiSip</we:customFunctionIds>
        <we:customFunctionIds>PsiTSSip</we:customFunctionIds>
        <we:customFunctionIds>PsiCorrMatrix</we:customFunctionIds>
        <we:customFunctionIds>PsiCorrDepen</we:customFunctionIds>
        <we:customFunctionIds>PsiCorrIndep</we:customFunctionIds>
        <we:customFunctionIds>PsiFit</we:customFunctionIds>
        <we:customFunctionIds>PsiData</we:customFunctionIds>
        <we:customFunctionIds>PsiKurtosis</we:customFunctionIds>
        <we:customFunctionIds>PsiTheoKurtosis</we:customFunctionIds>
        <we:customFunctionIds>PsiMax</we:customFunctionIds>
        <we:customFunctionIds>PsiTheoMax</we:customFunctionIds>
        <we:customFunctionIds>PsiMin</we:customFunctionIds>
        <we:customFunctionIds>PsiTheoMin</we:customFunctionIds>
        <we:customFunctionIds>PsiMode</we:customFunctionIds>
        <we:customFunctionIds>PsiTheoMode</we:customFunctionIds>
        <we:customFunctionIds>PsiPercentile</we:customFunctionIds>
        <we:customFunctionIds>PsiTheoPercentile</we:customFunctionIds>
        <we:customFunctionIds>PsiPtoX</we:customFunctionIds>
        <we:customFunctionIds>PsiTheoPtoX</we:customFunctionIds>
        <we:customFunctionIds>PsiPercentileD</we:customFunctionIds>
        <we:customFunctionIds>PsiTheoPercentileD</we:customFunctionIds>
        <we:customFunctionIds>PsiQtoX</we:customFunctionIds>
        <we:customFunctionIds>PsiTheoQtoX</we:customFunctionIds>
        <we:customFunctionIds>PsiRange</we:customFunctionIds>
        <we:customFunctionIds>PsiTheoRange</we:customFunctionIds>
        <we:customFunctionIds>PsiSkewness</we:customFunctionIds>
        <we:customFunctionIds>PsiTheoSkewness</we:customFunctionIds>
        <we:customFunctionIds>PsiStdDev</we:customFunctionIds>
        <we:customFunctionIds>PsiTheoStdDev</we:customFunctionIds>
        <we:customFunctionIds>PsiTarget</we:customFunctionIds>
        <we:customFunctionIds>PsiTheoTarget</we:customFunctionIds>
        <we:customFunctionIds>PsiXtoP</we:customFunctionIds>
        <we:customFunctionIds>PsiTheoXtoP</we:customFunctionIds>
        <we:customFunctionIds>PsiTargetD</we:customFunctionIds>
        <we:customFunctionIds>PsiTheoTargetD</we:customFunctionIds>
        <we:customFunctionIds>PsiXtoQ</we:customFunctionIds>
        <we:customFunctionIds>PsiTheoXtoQ</we:customFunctionIds>
        <we:customFunctionIds>PsiTheoXtoY</we:customFunctionIds>
        <we:customFunctionIds>PsiVariance</we:customFunctionIds>
        <we:customFunctionIds>PsiTheoVariance</we:customFunctionIds>
        <we:customFunctionIds>PsiAbsDev</we:customFunctionIds>
        <we:customFunctionIds>PsiCITrials</we:customFunctionIds>
        <we:customFunctionIds>PsiCorrelation</we:customFunctionIds>
        <we:customFunctionIds>PsiFrequency</we:customFunctionIds>
        <we:customFunctionIds>PsiMeanCI</we:customFunctionIds>
        <we:customFunctionIds>PsiMeanCIB</we:customFunctionIds>
        <we:customFunctionIds>PsiSemiDev</we:customFunctionIds>
        <we:customFunctionIds>PsiSemiDev2</we:customFunctionIds>
        <we:customFunctionIds>PsiSemiVar</we:customFunctionIds>
        <we:customFunctionIds>PsiSemiVar2</we:customFunctionIds>
        <we:customFunctionIds>PsiStdDevCI</we:customFunctionIds>
        <we:customFunctionIds>PsiBVaR</we:customFunctionIds>
        <we:customFunctionIds>PsiCVaR</we:customFunctionIds>
        <we:customFunctionIds>PsiCurrentTrial</we:customFunctionIds>
        <we:customFunctionIds>PsiCurrentSim</we:customFunctionIds>
        <we:customFunctionIds>PsiCount</we:customFunctionIds>
        <we:customFunctionIds>PsiSenValue</we:customFunctionIds>
        <we:customFunctionIds>PsiCurrentOpt</we:customFunctionIds>
        <we:customFunctionIds>PsiMedian</we:customFunctionIds>
        <we:customFunctionIds>PsiTheoMedian</we:customFunctionIds>
        <we:customFunctionIds>PsiDim</we:customFunctionIds>
        <we:customFunctionIds>PsiCube</we:customFunctionIds>
        <we:customFunctionIds>PsiReduce</we:customFunctionIds>
        <we:customFunctionIds>PsiJoin</we:customFunctionIds>
        <we:customFunctionIds>PsiOptStatus</we:customFunctionIds>
        <we:customFunctionIds>PsiPivotCube</we:customFunctionIds>
        <we:customFunctionIds>PsiCalcValue</we:customFunctionIds>
        <we:customFunctionIds>PsiOptData</we:customFunctionIds>
        <we:customFunctionIds>PsiParamDim</we:customFunctionIds>
        <we:customFunctionIds>PsiPivotDim</we:customFunctionIds>
        <we:customFunctionIds>PsiCubeOutput</we:customFunctionIds>
        <we:customFunctionIds>PsiDimLock</we:customFunctionIds>
        <we:customFunctionIds>PsiDimActive</we:customFunctionIds>
        <we:customFunctionIds>PsiCubeData</we:customFunctionIds>
        <we:customFunctionIds>PsiSimOutput</we:customFunctionIds>
        <we:customFunctionIds>PsiSimData</we:customFunctionIds>
        <we:customFunctionIds>PsiResample</we:customFunctionIds>
        <we:customFunctionIds>PsiTableCube</we:customFunctionIds>
        <we:customFunctionIds>PsiCompound</we:customFunctionIds>
        <we:customFunctionIds>PsiCopula</we:customFunctionIds>
        <we:customFunctionIds>PsiCopulaStudent</we:customFunctionIds>
        <we:customFunctionIds>PsiCopulaGauss</we:customFunctionIds>
        <we:customFunctionIds>PsiKendallTau</we:customFunctionIds>
        <we:customFunctionIds>PsiSpearmanRho</we:customFunctionIds>
        <we:customFunctionIds>PsiMetalog</we:customFunctionIds>
        <we:customFunctionIds>PsiMetalogSPT</we:customFunctionIds>
        <we:customFunctionIds>PsiMetalogFit</we:customFunctionIds>
        <we:customFunctionIds>PsiDataSrc</we:customFunctionIds>
        <we:customFunctionIds>PsiModelSrc</we:customFunctionIds>
        <we:customFunctionIds>PsiSigmaCP</we:customFunctionIds>
        <we:customFunctionIds>PsiSigmaCPK</we:customFunctionIds>
        <we:customFunctionIds>PsiSigmaCPKLower</we:customFunctionIds>
        <we:customFunctionIds>PsiSigmaCPKUpper</we:customFunctionIds>
        <we:customFunctionIds>PsiSigmaCPM</we:customFunctionIds>
        <we:customFunctionIds>PsiSigmaDefectPPM</we:customFunctionIds>
        <we:customFunctionIds>PsiSigmaDefectShiftPPM</we:customFunctionIds>
        <we:customFunctionIds>PsiSigmaDefectShiftPPMLower</we:customFunctionIds>
        <we:customFunctionIds>PsiSigmaDefectShiftPPMUpper</we:customFunctionIds>
        <we:customFunctionIds>PsiSigmaK</we:customFunctionIds>
        <we:customFunctionIds>PsiSigmaLowerBound</we:customFunctionIds>
        <we:customFunctionIds>PsiSigmaProbDefectShift</we:customFunctionIds>
        <we:customFunctionIds>PsiSigmaProbDefectShiftLower</we:customFunctionIds>
        <we:customFunctionIds>PsiSigmaProbDefectShiftUpper</we:customFunctionIds>
        <we:customFunctionIds>PsiSigmaSigmaLevel</we:customFunctionIds>
        <we:customFunctionIds>PsiSigmaUpperBound</we:customFunctionIds>
        <we:customFunctionIds>PsiSigmaYield</we:customFunctionIds>
        <we:customFunctionIds>PsiSigmaZLower</we:customFunctionIds>
        <we:customFunctionIds>PsiSigmaZMin</we:customFunctionIds>
        <we:customFunctionIds>PsiSigmaZUpper</we:customFunctionIds>
        <we:customFunctionIds>PsiBetaGenAlt</we:customFunctionIds>
        <we:customFunctionIds>PsiCauchyAlt</we:customFunctionIds>
        <we:customFunctionIds>PsiChiSquareAlt</we:customFunctionIds>
        <we:customFunctionIds>PsiErfAlt</we:customFunctionIds>
        <we:customFunctionIds>PsiExponentialAlt</we:customFunctionIds>
        <we:customFunctionIds>PsiGammaAlt</we:customFunctionIds>
        <we:customFunctionIds>PsiInvNormalAlt</we:customFunctionIds>
        <we:customFunctionIds>PsiLaplaceAlt</we:customFunctionIds>
        <we:customFunctionIds>PsiLogisticAlt</we:customFunctionIds>
        <we:customFunctionIds>PsiLogLogisticAlt</we:customFunctionIds>
        <we:customFunctionIds>PsiLogNormalAlt</we:customFunctionIds>
        <we:customFunctionIds>PsiMaxExtremeAlt</we:customFunctionIds>
        <we:customFunctionIds>PsiMinExtremeAlt</we:customFunctionIds>
        <we:customFunctionIds>PsiNormalAlt</we:customFunctionIds>
        <we:customFunctionIds>PsiUniformAlt</we:customFunctionIds>
        <we:customFunctionIds>PsiTriangularAlt</we:customFunctionIds>
        <we:customFunctionIds>PsiParetoAlt</we:customFunctionIds>
        <we:customFunctionIds>PsiPareto2Alt</we:customFunctionIds>
        <we:customFunctionIds>PsiPearson5Alt</we:customFunctionIds>
        <we:customFunctionIds>PsiPearson6Alt</we:customFunctionIds>
        <we:customFunctionIds>PsiPertAlt</we:customFunctionIds>
        <we:customFunctionIds>PsiRayleighAlt</we:customFunctionIds>
        <we:customFunctionIds>PsiStudentAlt</we:customFunctionIds>
        <we:customFunctionIds>PsiWeibullAlt</we:customFunctionIds>
        <we:customFunctionIds>PsiOptValue</we:customFunctionIds>
        <we:customFunctionIds>PsiCoeffVar</we:customFunctionIds>
        <we:customFunctionIds>PsiStdErr</we:customFunctionIds>
        <we:customFunctionIds>PsiExpGain</we:customFunctionIds>
        <we:customFunctionIds>PsiExpGainRatio</we:customFunctionIds>
        <we:customFunctionIds>PsiExpLoss</we:customFunctionIds>
        <we:customFunctionIds>PsiExpLossRatio</we:customFunctionIds>
        <we:customFunctionIds>PsiExpValMargin</we:customFunctionIds>
        <we:customFunctionIds>PsiCertified</we:customFunctionIds>
        <we:customFunctionIds>PsiCensor</we:customFunctionIds>
        <we:customFunctionIds>PsiBaseCase</we:customFunctionIds>
        <we:customFunctionIds>PsiForecastETS</we:customFunctionIds>
        <we:customFunctionIds>PsiForecastLinear</we:customFunctionIds>
        <we:customFunctionIds>DotProduct</we:customFunctionIds>
        <we:customFunctionIds>QuadProduct</we:customFunctionIds>
        <we:customFunctionIds>PsiDecTable</we:customFunctionIds>
        <we:customFunctionIds>PsiBoxFunction</we:customFunctionIds>
        <we:customFunctionIds>PsiInitialValue</we:customFunctionIds>
        <we:customFunctionIds>PsiFinalValue</we:customFunctionIds>
        <we:customFunctionIds>PsiDualValue</we:customFunctionIds>
        <we:customFunctionIds>PsiSlackValue</we:customFunctionIds>
        <we:customFunctionIds>PsiDualUpper</we:customFunctionIds>
        <we:customFunctionIds>PsiDualLower</we:customFunctionIds>
        <we:customFunctionIds>PsiTSIntegrate</we:customFunctionIds>
        <we:customFunctionIds>PsiTransform</we:customFunctionIds>
        <we:customFunctionIds>PsiTSSeasonality</we:customFunctionIds>
        <we:customFunctionIds>PsiTSLen</we:customFunctionIds>
        <we:customFunctionIds>PsiAR1</we:customFunctionIds>
        <we:customFunctionIds>PsiAR2</we:customFunctionIds>
        <we:customFunctionIds>PsiMA1</we:customFunctionIds>
        <we:customFunctionIds>PsiMA2</we:customFunctionIds>
        <we:customFunctionIds>PsiARMA11</we:customFunctionIds>
        <we:customFunctionIds>PsiARCH1</we:customFunctionIds>
        <we:customFunctionIds>PsiGARCH11</we:customFunctionIds>
        <we:customFunctionIds>PsiEGARCH11</we:customFunctionIds>
        <we:customFunctionIds>PsiAPARCH11</we:customFunctionIds>
        <we:customFunctionIds>PsiTargetCI</we:customFunctionIds>
        <we:customFunctionIds>PsiPercentileCI</we:customFunctionIds>
        <we:customFunctionIds>PsiPercentiles</we:customFunctionIds>
        <we:customFunctionIds>PsiModelDesc</we:customFunctionIds>
        <we:customFunctionIds>PsiCorrectCorrmat</we:customFunctionIds>
        <we:customFunctionIds>PsiStatic</we:customFunctionIds>
        <we:customFunctionIds>PsiMakeInput</we:customFunctionIds>
        <we:customFunctionIds>PsiSimulationInfo</we:customFunctionIds>
      </we:customFunctionIdList>
    </a:ext>
  </we:extLst>
</we:webextension>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63E40-09F6-4204-8DF7-45674D2626C4}">
  <sheetPr codeName="Sheet13"/>
  <dimension ref="A1:J56"/>
  <sheetViews>
    <sheetView showGridLines="0" zoomScale="70" zoomScaleNormal="70" workbookViewId="0">
      <selection activeCell="A52" sqref="A52:J55"/>
    </sheetView>
  </sheetViews>
  <sheetFormatPr defaultColWidth="9.140625" defaultRowHeight="14.45"/>
  <cols>
    <col min="1" max="3" width="8.85546875" customWidth="1"/>
    <col min="4" max="7" width="20.5703125" customWidth="1"/>
  </cols>
  <sheetData>
    <row r="1" spans="1:10" ht="123" customHeight="1">
      <c r="A1" s="538" t="e" vm="1">
        <v>#VALUE!</v>
      </c>
      <c r="B1" s="538"/>
      <c r="C1" s="538"/>
      <c r="D1" s="539" t="s">
        <v>0</v>
      </c>
      <c r="E1" s="539"/>
      <c r="F1" s="539"/>
      <c r="G1" s="539"/>
      <c r="H1" s="538" t="e" vm="1">
        <v>#VALUE!</v>
      </c>
      <c r="I1" s="538"/>
      <c r="J1" s="538"/>
    </row>
    <row r="2" spans="1:10">
      <c r="A2" s="538"/>
      <c r="B2" s="538"/>
      <c r="C2" s="538"/>
      <c r="G2" s="63"/>
      <c r="H2" s="538"/>
      <c r="I2" s="538"/>
      <c r="J2" s="538"/>
    </row>
    <row r="3" spans="1:10">
      <c r="A3" s="538"/>
      <c r="B3" s="538"/>
      <c r="C3" s="538"/>
      <c r="G3" s="63"/>
      <c r="H3" s="538"/>
      <c r="I3" s="538"/>
      <c r="J3" s="538"/>
    </row>
    <row r="4" spans="1:10" ht="18">
      <c r="A4" s="540" t="s">
        <v>1</v>
      </c>
      <c r="B4" s="540"/>
      <c r="C4" s="540"/>
      <c r="D4" s="540"/>
      <c r="E4" s="540"/>
      <c r="F4" s="540"/>
      <c r="G4" s="540"/>
      <c r="H4" s="540"/>
      <c r="I4" s="540"/>
      <c r="J4" s="540"/>
    </row>
    <row r="5" spans="1:10" ht="18">
      <c r="A5" s="314"/>
      <c r="B5" s="314"/>
      <c r="C5" s="314"/>
      <c r="D5" s="541" t="s">
        <v>2</v>
      </c>
      <c r="E5" s="541"/>
      <c r="F5" s="541"/>
      <c r="G5" s="541"/>
      <c r="H5" s="314"/>
      <c r="I5" s="314"/>
      <c r="J5" s="314"/>
    </row>
    <row r="6" spans="1:10" ht="18">
      <c r="A6" s="314"/>
      <c r="B6" s="314"/>
      <c r="C6" s="314"/>
      <c r="D6" s="541" t="s">
        <v>3</v>
      </c>
      <c r="E6" s="541"/>
      <c r="F6" s="541"/>
      <c r="G6" s="541"/>
      <c r="H6" s="314"/>
      <c r="I6" s="314"/>
      <c r="J6" s="314"/>
    </row>
    <row r="7" spans="1:10" ht="18">
      <c r="A7" s="314"/>
      <c r="B7" s="314"/>
      <c r="C7" s="314"/>
      <c r="D7" s="541" t="s">
        <v>4</v>
      </c>
      <c r="E7" s="541"/>
      <c r="F7" s="541"/>
      <c r="G7" s="541"/>
      <c r="H7" s="314"/>
      <c r="I7" s="314"/>
      <c r="J7" s="314"/>
    </row>
    <row r="8" spans="1:10" ht="18">
      <c r="A8" s="64"/>
      <c r="B8" s="64"/>
    </row>
    <row r="9" spans="1:10" ht="18" customHeight="1">
      <c r="A9" s="542" t="s">
        <v>5</v>
      </c>
      <c r="B9" s="542"/>
      <c r="C9" s="542"/>
      <c r="D9" s="542"/>
      <c r="E9" s="542"/>
      <c r="F9" s="542"/>
      <c r="G9" s="542"/>
      <c r="H9" s="542"/>
      <c r="I9" s="542"/>
      <c r="J9" s="542"/>
    </row>
    <row r="10" spans="1:10">
      <c r="A10" s="542"/>
      <c r="B10" s="542"/>
      <c r="C10" s="542"/>
      <c r="D10" s="542"/>
      <c r="E10" s="542"/>
      <c r="F10" s="542"/>
      <c r="G10" s="542"/>
      <c r="H10" s="542"/>
      <c r="I10" s="542"/>
      <c r="J10" s="542"/>
    </row>
    <row r="11" spans="1:10">
      <c r="A11" s="542"/>
      <c r="B11" s="542"/>
      <c r="C11" s="542"/>
      <c r="D11" s="542"/>
      <c r="E11" s="542"/>
      <c r="F11" s="542"/>
      <c r="G11" s="542"/>
      <c r="H11" s="542"/>
      <c r="I11" s="542"/>
      <c r="J11" s="542"/>
    </row>
    <row r="12" spans="1:10">
      <c r="A12" s="542"/>
      <c r="B12" s="542"/>
      <c r="C12" s="542"/>
      <c r="D12" s="542"/>
      <c r="E12" s="542"/>
      <c r="F12" s="542"/>
      <c r="G12" s="542"/>
      <c r="H12" s="542"/>
      <c r="I12" s="542"/>
      <c r="J12" s="542"/>
    </row>
    <row r="13" spans="1:10" ht="18">
      <c r="A13" s="64"/>
      <c r="B13" s="64"/>
    </row>
    <row r="14" spans="1:10" ht="18">
      <c r="A14" s="543" t="s">
        <v>6</v>
      </c>
      <c r="B14" s="543"/>
      <c r="C14" s="543"/>
      <c r="D14" s="543"/>
      <c r="E14" s="543"/>
      <c r="F14" s="543"/>
      <c r="G14" s="543"/>
      <c r="H14" s="543"/>
      <c r="I14" s="543"/>
      <c r="J14" s="543"/>
    </row>
    <row r="15" spans="1:10" ht="18">
      <c r="A15" s="544" t="s">
        <v>7</v>
      </c>
      <c r="B15" s="544"/>
      <c r="C15" s="544"/>
      <c r="D15" s="544"/>
      <c r="E15" s="544"/>
      <c r="F15" s="544"/>
      <c r="G15" s="544"/>
      <c r="H15" s="544"/>
      <c r="I15" s="544"/>
      <c r="J15" s="544"/>
    </row>
    <row r="16" spans="1:10" ht="18">
      <c r="A16" s="544" t="s">
        <v>8</v>
      </c>
      <c r="B16" s="544"/>
      <c r="C16" s="544"/>
      <c r="D16" s="544"/>
      <c r="E16" s="544"/>
      <c r="F16" s="544"/>
      <c r="G16" s="544"/>
      <c r="H16" s="544"/>
      <c r="I16" s="544"/>
      <c r="J16" s="544"/>
    </row>
    <row r="17" spans="1:10" ht="18">
      <c r="A17" s="544" t="s">
        <v>9</v>
      </c>
      <c r="B17" s="544"/>
      <c r="C17" s="544"/>
      <c r="D17" s="544"/>
      <c r="E17" s="544"/>
      <c r="F17" s="544"/>
      <c r="G17" s="544"/>
      <c r="H17" s="544"/>
      <c r="I17" s="544"/>
      <c r="J17" s="544"/>
    </row>
    <row r="18" spans="1:10" ht="18">
      <c r="A18" s="544" t="s">
        <v>10</v>
      </c>
      <c r="B18" s="544"/>
      <c r="C18" s="544"/>
      <c r="D18" s="544"/>
      <c r="E18" s="544"/>
      <c r="F18" s="544"/>
      <c r="G18" s="544"/>
      <c r="H18" s="544"/>
      <c r="I18" s="544"/>
      <c r="J18" s="544"/>
    </row>
    <row r="19" spans="1:10" ht="18">
      <c r="A19" s="64"/>
      <c r="B19" s="64"/>
    </row>
    <row r="20" spans="1:10" ht="18">
      <c r="A20" s="545" t="s">
        <v>11</v>
      </c>
      <c r="B20" s="545"/>
      <c r="C20" s="545"/>
      <c r="D20" s="545"/>
      <c r="E20" s="545"/>
      <c r="F20" s="545"/>
      <c r="G20" s="545"/>
      <c r="H20" s="545"/>
      <c r="I20" s="545"/>
      <c r="J20" s="545"/>
    </row>
    <row r="21" spans="1:10" ht="18">
      <c r="A21" s="546" t="s">
        <v>12</v>
      </c>
      <c r="B21" s="546"/>
      <c r="C21" s="546"/>
      <c r="D21" s="546"/>
      <c r="E21" s="546"/>
      <c r="F21" s="546"/>
      <c r="G21" s="546"/>
      <c r="H21" s="546"/>
      <c r="I21" s="546"/>
      <c r="J21" s="546"/>
    </row>
    <row r="22" spans="1:10" ht="18">
      <c r="A22" s="546" t="s">
        <v>13</v>
      </c>
      <c r="B22" s="546"/>
      <c r="C22" s="546"/>
      <c r="D22" s="546"/>
      <c r="E22" s="546"/>
      <c r="F22" s="546"/>
      <c r="G22" s="546"/>
      <c r="H22" s="546"/>
      <c r="I22" s="546"/>
      <c r="J22" s="546"/>
    </row>
    <row r="23" spans="1:10" ht="18">
      <c r="A23" s="546" t="s">
        <v>14</v>
      </c>
      <c r="B23" s="546"/>
      <c r="C23" s="546"/>
      <c r="D23" s="546"/>
      <c r="E23" s="546"/>
      <c r="F23" s="546"/>
      <c r="G23" s="546"/>
      <c r="H23" s="546"/>
      <c r="I23" s="546"/>
      <c r="J23" s="546"/>
    </row>
    <row r="24" spans="1:10" ht="18">
      <c r="A24" s="546" t="s">
        <v>15</v>
      </c>
      <c r="B24" s="546"/>
      <c r="C24" s="546"/>
      <c r="D24" s="546"/>
      <c r="E24" s="546"/>
      <c r="F24" s="546"/>
      <c r="G24" s="546"/>
      <c r="H24" s="546"/>
      <c r="I24" s="546"/>
      <c r="J24" s="546"/>
    </row>
    <row r="25" spans="1:10" ht="18">
      <c r="A25" s="546" t="s">
        <v>16</v>
      </c>
      <c r="B25" s="546"/>
      <c r="C25" s="546"/>
      <c r="D25" s="546"/>
      <c r="E25" s="546"/>
      <c r="F25" s="546"/>
      <c r="G25" s="546"/>
      <c r="H25" s="546"/>
      <c r="I25" s="546"/>
      <c r="J25" s="546"/>
    </row>
    <row r="26" spans="1:10" ht="18">
      <c r="A26" s="546" t="s">
        <v>17</v>
      </c>
      <c r="B26" s="546"/>
      <c r="C26" s="546"/>
      <c r="D26" s="546"/>
      <c r="E26" s="546"/>
      <c r="F26" s="546"/>
      <c r="G26" s="546"/>
      <c r="H26" s="546"/>
      <c r="I26" s="546"/>
      <c r="J26" s="546"/>
    </row>
    <row r="27" spans="1:10" ht="18">
      <c r="A27" s="546" t="s">
        <v>18</v>
      </c>
      <c r="B27" s="546"/>
      <c r="C27" s="546"/>
      <c r="D27" s="546"/>
      <c r="E27" s="546"/>
      <c r="F27" s="546"/>
      <c r="G27" s="546"/>
      <c r="H27" s="546"/>
      <c r="I27" s="546"/>
      <c r="J27" s="546"/>
    </row>
    <row r="28" spans="1:10" ht="18">
      <c r="A28" s="64"/>
      <c r="B28" s="64"/>
    </row>
    <row r="29" spans="1:10" ht="18" customHeight="1">
      <c r="A29" s="548" t="s">
        <v>19</v>
      </c>
      <c r="B29" s="548"/>
      <c r="C29" s="548"/>
      <c r="D29" s="548"/>
      <c r="E29" s="548"/>
      <c r="F29" s="548"/>
      <c r="G29" s="548"/>
      <c r="H29" s="548"/>
      <c r="I29" s="548"/>
      <c r="J29" s="548"/>
    </row>
    <row r="30" spans="1:10" ht="18" customHeight="1">
      <c r="A30" s="548"/>
      <c r="B30" s="548"/>
      <c r="C30" s="548"/>
      <c r="D30" s="548"/>
      <c r="E30" s="548"/>
      <c r="F30" s="548"/>
      <c r="G30" s="548"/>
      <c r="H30" s="548"/>
      <c r="I30" s="548"/>
      <c r="J30" s="548"/>
    </row>
    <row r="31" spans="1:10" ht="18" customHeight="1">
      <c r="A31" s="548"/>
      <c r="B31" s="548"/>
      <c r="C31" s="548"/>
      <c r="D31" s="548"/>
      <c r="E31" s="548"/>
      <c r="F31" s="548"/>
      <c r="G31" s="548"/>
      <c r="H31" s="548"/>
      <c r="I31" s="548"/>
      <c r="J31" s="548"/>
    </row>
    <row r="32" spans="1:10" ht="18" customHeight="1">
      <c r="A32" s="549" t="s">
        <v>20</v>
      </c>
      <c r="B32" s="549"/>
      <c r="C32" s="549"/>
      <c r="D32" s="549"/>
      <c r="E32" s="549"/>
      <c r="F32" s="549"/>
      <c r="G32" s="549"/>
      <c r="H32" s="549"/>
      <c r="I32" s="549"/>
      <c r="J32" s="549"/>
    </row>
    <row r="33" spans="1:10" ht="18" customHeight="1">
      <c r="A33" s="551"/>
      <c r="B33" s="551"/>
      <c r="C33" s="551"/>
      <c r="D33" s="551"/>
      <c r="E33" s="551"/>
      <c r="F33" s="551"/>
      <c r="G33" s="551"/>
      <c r="H33" s="551"/>
      <c r="I33" s="551"/>
      <c r="J33" s="551"/>
    </row>
    <row r="34" spans="1:10" ht="18" customHeight="1">
      <c r="A34" s="551"/>
      <c r="B34" s="551"/>
      <c r="C34" s="551"/>
      <c r="D34" s="551"/>
      <c r="E34" s="551"/>
      <c r="F34" s="551"/>
      <c r="G34" s="551"/>
      <c r="H34" s="551"/>
      <c r="I34" s="551"/>
      <c r="J34" s="551"/>
    </row>
    <row r="35" spans="1:10" ht="18" customHeight="1">
      <c r="A35" s="551"/>
      <c r="B35" s="551"/>
      <c r="C35" s="551"/>
      <c r="D35" s="551"/>
      <c r="E35" s="551"/>
      <c r="F35" s="551"/>
      <c r="G35" s="551"/>
      <c r="H35" s="551"/>
      <c r="I35" s="551"/>
      <c r="J35" s="551"/>
    </row>
    <row r="36" spans="1:10" ht="18" customHeight="1">
      <c r="A36" s="549" t="s">
        <v>21</v>
      </c>
      <c r="B36" s="549"/>
      <c r="C36" s="549"/>
      <c r="D36" s="549"/>
      <c r="E36" s="549"/>
      <c r="F36" s="549"/>
      <c r="G36" s="549"/>
      <c r="H36" s="549"/>
      <c r="I36" s="549"/>
      <c r="J36" s="549"/>
    </row>
    <row r="37" spans="1:10" ht="18" customHeight="1">
      <c r="A37" s="551"/>
      <c r="B37" s="551"/>
      <c r="C37" s="551"/>
      <c r="D37" s="551"/>
      <c r="E37" s="551"/>
      <c r="F37" s="551"/>
      <c r="G37" s="551"/>
      <c r="H37" s="551"/>
      <c r="I37" s="551"/>
      <c r="J37" s="551"/>
    </row>
    <row r="38" spans="1:10" ht="18" customHeight="1">
      <c r="A38" s="551"/>
      <c r="B38" s="551"/>
      <c r="C38" s="551"/>
      <c r="D38" s="551"/>
      <c r="E38" s="551"/>
      <c r="F38" s="551"/>
      <c r="G38" s="551"/>
      <c r="H38" s="551"/>
      <c r="I38" s="551"/>
      <c r="J38" s="551"/>
    </row>
    <row r="39" spans="1:10" ht="18" customHeight="1">
      <c r="A39" s="551"/>
      <c r="B39" s="551"/>
      <c r="C39" s="551"/>
      <c r="D39" s="551"/>
      <c r="E39" s="551"/>
      <c r="F39" s="551"/>
      <c r="G39" s="551"/>
      <c r="H39" s="551"/>
      <c r="I39" s="551"/>
      <c r="J39" s="551"/>
    </row>
    <row r="40" spans="1:10" ht="18">
      <c r="A40" s="64"/>
      <c r="B40" s="64"/>
      <c r="F40" s="63"/>
      <c r="G40" s="63"/>
      <c r="H40" s="538" t="e" vm="2">
        <v>#VALUE!</v>
      </c>
      <c r="I40" s="538"/>
      <c r="J40" s="538"/>
    </row>
    <row r="41" spans="1:10" ht="18" customHeight="1">
      <c r="A41" s="552" t="s">
        <v>22</v>
      </c>
      <c r="B41" s="552"/>
      <c r="C41" s="552"/>
      <c r="D41" s="552"/>
      <c r="E41" s="552"/>
      <c r="F41" s="552"/>
      <c r="G41" s="552"/>
      <c r="H41" s="538"/>
      <c r="I41" s="538"/>
      <c r="J41" s="538"/>
    </row>
    <row r="42" spans="1:10" ht="18" customHeight="1">
      <c r="A42" s="552"/>
      <c r="B42" s="552"/>
      <c r="C42" s="552"/>
      <c r="D42" s="552"/>
      <c r="E42" s="552"/>
      <c r="F42" s="552"/>
      <c r="G42" s="552"/>
      <c r="H42" s="538"/>
      <c r="I42" s="538"/>
      <c r="J42" s="538"/>
    </row>
    <row r="43" spans="1:10" ht="18">
      <c r="A43" s="553" t="s">
        <v>23</v>
      </c>
      <c r="B43" s="553"/>
      <c r="C43" s="553"/>
      <c r="D43" s="553"/>
      <c r="E43" s="553"/>
      <c r="F43" s="553"/>
      <c r="G43" s="553"/>
      <c r="H43" s="538"/>
      <c r="I43" s="538"/>
      <c r="J43" s="538"/>
    </row>
    <row r="44" spans="1:10" ht="18">
      <c r="A44" s="553" t="s">
        <v>24</v>
      </c>
      <c r="B44" s="553"/>
      <c r="C44" s="553"/>
      <c r="D44" s="553"/>
      <c r="E44" s="553"/>
      <c r="F44" s="553"/>
      <c r="G44" s="553"/>
      <c r="H44" s="538"/>
      <c r="I44" s="538"/>
      <c r="J44" s="538"/>
    </row>
    <row r="45" spans="1:10" ht="18">
      <c r="A45" s="553" t="s">
        <v>25</v>
      </c>
      <c r="B45" s="553"/>
      <c r="C45" s="553"/>
      <c r="D45" s="553"/>
      <c r="E45" s="553"/>
      <c r="F45" s="553"/>
      <c r="G45" s="553"/>
      <c r="H45" s="538"/>
      <c r="I45" s="538"/>
      <c r="J45" s="538"/>
    </row>
    <row r="46" spans="1:10">
      <c r="E46" s="63"/>
      <c r="F46" s="63"/>
      <c r="G46" s="63"/>
    </row>
    <row r="47" spans="1:10">
      <c r="A47" s="550" t="e" vm="3">
        <v>#VALUE!</v>
      </c>
      <c r="B47" s="550"/>
      <c r="C47" s="550"/>
      <c r="D47" s="550"/>
      <c r="E47" s="550"/>
      <c r="F47" s="550"/>
      <c r="G47" s="550"/>
      <c r="H47" s="550"/>
      <c r="I47" s="550"/>
      <c r="J47" s="550"/>
    </row>
    <row r="48" spans="1:10">
      <c r="A48" s="550"/>
      <c r="B48" s="550"/>
      <c r="C48" s="550"/>
      <c r="D48" s="550"/>
      <c r="E48" s="550"/>
      <c r="F48" s="550"/>
      <c r="G48" s="550"/>
      <c r="H48" s="550"/>
      <c r="I48" s="550"/>
      <c r="J48" s="550"/>
    </row>
    <row r="49" spans="1:10">
      <c r="A49" s="550"/>
      <c r="B49" s="550"/>
      <c r="C49" s="550"/>
      <c r="D49" s="550"/>
      <c r="E49" s="550"/>
      <c r="F49" s="550"/>
      <c r="G49" s="550"/>
      <c r="H49" s="550"/>
      <c r="I49" s="550"/>
      <c r="J49" s="550"/>
    </row>
    <row r="50" spans="1:10">
      <c r="A50" s="550"/>
      <c r="B50" s="550"/>
      <c r="C50" s="550"/>
      <c r="D50" s="550"/>
      <c r="E50" s="550"/>
      <c r="F50" s="550"/>
      <c r="G50" s="550"/>
      <c r="H50" s="550"/>
      <c r="I50" s="550"/>
      <c r="J50" s="550"/>
    </row>
    <row r="52" spans="1:10">
      <c r="A52" s="547"/>
      <c r="B52" s="547"/>
      <c r="C52" s="547"/>
      <c r="D52" s="547"/>
      <c r="E52" s="547"/>
      <c r="F52" s="547"/>
      <c r="G52" s="547"/>
      <c r="H52" s="547"/>
      <c r="I52" s="547"/>
      <c r="J52" s="547"/>
    </row>
    <row r="53" spans="1:10">
      <c r="A53" s="547"/>
      <c r="B53" s="547"/>
      <c r="C53" s="547"/>
      <c r="D53" s="547"/>
      <c r="E53" s="547"/>
      <c r="F53" s="547"/>
      <c r="G53" s="547"/>
      <c r="H53" s="547"/>
      <c r="I53" s="547"/>
      <c r="J53" s="547"/>
    </row>
    <row r="54" spans="1:10">
      <c r="A54" s="547"/>
      <c r="B54" s="547"/>
      <c r="C54" s="547"/>
      <c r="D54" s="547"/>
      <c r="E54" s="547"/>
      <c r="F54" s="547"/>
      <c r="G54" s="547"/>
      <c r="H54" s="547"/>
      <c r="I54" s="547"/>
      <c r="J54" s="547"/>
    </row>
    <row r="55" spans="1:10">
      <c r="A55" s="547"/>
      <c r="B55" s="547"/>
      <c r="C55" s="547"/>
      <c r="D55" s="547"/>
      <c r="E55" s="547"/>
      <c r="F55" s="547"/>
      <c r="G55" s="547"/>
      <c r="H55" s="547"/>
      <c r="I55" s="547"/>
      <c r="J55" s="547"/>
    </row>
    <row r="56" spans="1:10">
      <c r="A56" s="62"/>
      <c r="B56" s="62"/>
      <c r="C56" s="62"/>
      <c r="D56" s="62"/>
      <c r="E56" s="62"/>
      <c r="F56" s="62"/>
      <c r="G56" s="62"/>
      <c r="H56" s="62"/>
      <c r="I56" s="62"/>
      <c r="J56" s="62"/>
    </row>
  </sheetData>
  <sheetProtection algorithmName="SHA-512" hashValue="FouEqb38gnoZIIcVpR8p3zrsHzm62afVPYxz1dxESbvphLEJBXTQZpOx+nCHeaI3Dj1myGZ/Z51OXVF08t18Xw==" saltValue="+hymy2KItGsIHzLD3mdoGw==" spinCount="100000" sheet="1" objects="1" scenarios="1" selectLockedCells="1"/>
  <mergeCells count="34">
    <mergeCell ref="A52:J55"/>
    <mergeCell ref="A27:J27"/>
    <mergeCell ref="A29:J30"/>
    <mergeCell ref="A31:J31"/>
    <mergeCell ref="A32:J32"/>
    <mergeCell ref="A47:J50"/>
    <mergeCell ref="A36:J36"/>
    <mergeCell ref="A37:J39"/>
    <mergeCell ref="H40:J45"/>
    <mergeCell ref="A41:G42"/>
    <mergeCell ref="A43:G43"/>
    <mergeCell ref="A44:G44"/>
    <mergeCell ref="A45:G45"/>
    <mergeCell ref="A33:J35"/>
    <mergeCell ref="A22:J22"/>
    <mergeCell ref="A23:J23"/>
    <mergeCell ref="A24:J24"/>
    <mergeCell ref="A25:J25"/>
    <mergeCell ref="A26:J26"/>
    <mergeCell ref="A16:J16"/>
    <mergeCell ref="A17:J17"/>
    <mergeCell ref="A18:J18"/>
    <mergeCell ref="A20:J20"/>
    <mergeCell ref="A21:J21"/>
    <mergeCell ref="D6:G6"/>
    <mergeCell ref="D7:G7"/>
    <mergeCell ref="A9:J12"/>
    <mergeCell ref="A14:J14"/>
    <mergeCell ref="A15:J15"/>
    <mergeCell ref="A1:C3"/>
    <mergeCell ref="D1:G1"/>
    <mergeCell ref="H1:J3"/>
    <mergeCell ref="A4:J4"/>
    <mergeCell ref="D5:G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52651-1D15-4A4E-9F0A-D14084647919}">
  <sheetPr codeName="Sheet1">
    <tabColor theme="5"/>
    <pageSetUpPr fitToPage="1"/>
  </sheetPr>
  <dimension ref="A1:W292"/>
  <sheetViews>
    <sheetView showGridLines="0" tabSelected="1" zoomScale="80" zoomScaleNormal="80" workbookViewId="0">
      <selection activeCell="B54" sqref="B54"/>
    </sheetView>
  </sheetViews>
  <sheetFormatPr defaultColWidth="9.140625" defaultRowHeight="18"/>
  <cols>
    <col min="1" max="1" width="99.7109375" style="64" bestFit="1" customWidth="1"/>
    <col min="2" max="2" width="51.85546875" style="64" bestFit="1" customWidth="1"/>
    <col min="3" max="3" width="24.5703125" style="64" customWidth="1"/>
    <col min="4" max="4" width="19" style="83" customWidth="1"/>
    <col min="5" max="5" width="28.28515625" style="64" customWidth="1"/>
    <col min="6" max="6" width="37" style="64" bestFit="1" customWidth="1"/>
    <col min="7" max="7" width="20.5703125" style="83" customWidth="1"/>
    <col min="8" max="8" width="61.42578125" style="83" bestFit="1" customWidth="1"/>
    <col min="9" max="13" width="8.7109375" style="83" customWidth="1"/>
    <col min="14" max="21" width="8.7109375" style="64" customWidth="1"/>
    <col min="22" max="16384" width="9.140625" style="64"/>
  </cols>
  <sheetData>
    <row r="1" spans="1:17" ht="23.45">
      <c r="A1" s="515" t="s">
        <v>26</v>
      </c>
      <c r="B1" s="515"/>
      <c r="C1" s="515"/>
      <c r="D1" s="515"/>
      <c r="E1" s="515"/>
      <c r="F1" s="515"/>
      <c r="G1" s="515"/>
      <c r="H1" s="515"/>
    </row>
    <row r="2" spans="1:17" s="83" customFormat="1"/>
    <row r="3" spans="1:17">
      <c r="A3" s="516" t="s">
        <v>27</v>
      </c>
      <c r="B3" s="517"/>
      <c r="C3" s="83"/>
      <c r="E3" s="83"/>
      <c r="F3" s="83"/>
    </row>
    <row r="4" spans="1:17">
      <c r="A4" s="318"/>
      <c r="B4" s="319"/>
      <c r="C4" s="83"/>
      <c r="E4" s="83"/>
      <c r="F4" s="83"/>
    </row>
    <row r="5" spans="1:17">
      <c r="A5" s="91" t="s">
        <v>28</v>
      </c>
      <c r="B5" s="403">
        <v>263</v>
      </c>
      <c r="C5" s="320"/>
      <c r="D5" s="321"/>
      <c r="E5" s="320"/>
      <c r="F5" s="320"/>
    </row>
    <row r="6" spans="1:17">
      <c r="A6" s="91" t="s">
        <v>29</v>
      </c>
      <c r="B6" s="404">
        <v>63</v>
      </c>
      <c r="C6" s="83"/>
      <c r="D6" s="322"/>
      <c r="E6" s="83"/>
      <c r="F6" s="83"/>
    </row>
    <row r="7" spans="1:17">
      <c r="A7" s="91" t="s">
        <v>30</v>
      </c>
      <c r="B7" s="405">
        <v>4.0500000000000001E-2</v>
      </c>
      <c r="C7" s="83"/>
      <c r="D7" s="322"/>
      <c r="E7" s="83"/>
      <c r="F7" s="83"/>
    </row>
    <row r="8" spans="1:17">
      <c r="A8" s="91" t="s">
        <v>31</v>
      </c>
      <c r="B8" s="405">
        <v>3.7999999999999999E-2</v>
      </c>
      <c r="C8" s="83"/>
      <c r="D8" s="322"/>
      <c r="E8" s="83"/>
      <c r="F8" s="83"/>
    </row>
    <row r="9" spans="1:17">
      <c r="A9" s="91" t="s">
        <v>32</v>
      </c>
      <c r="B9" s="404">
        <v>12</v>
      </c>
      <c r="C9" s="83"/>
      <c r="E9" s="83"/>
      <c r="F9" s="83"/>
      <c r="N9" s="83"/>
      <c r="O9" s="83"/>
      <c r="P9" s="83"/>
      <c r="Q9" s="83"/>
    </row>
    <row r="10" spans="1:17">
      <c r="A10" s="91" t="s">
        <v>33</v>
      </c>
      <c r="B10" s="406">
        <v>0.49</v>
      </c>
      <c r="C10" s="83"/>
      <c r="D10" s="322"/>
      <c r="E10" s="83"/>
      <c r="F10" s="83"/>
      <c r="N10" s="83"/>
      <c r="O10" s="83"/>
      <c r="P10" s="83"/>
      <c r="Q10" s="83"/>
    </row>
    <row r="11" spans="1:17">
      <c r="A11" s="92" t="s">
        <v>34</v>
      </c>
      <c r="B11" s="498">
        <v>20</v>
      </c>
      <c r="C11" s="83"/>
      <c r="D11" s="323"/>
      <c r="E11" s="83"/>
      <c r="F11" s="83"/>
      <c r="N11" s="83"/>
      <c r="O11" s="83"/>
      <c r="P11" s="83"/>
      <c r="Q11" s="83"/>
    </row>
    <row r="12" spans="1:17">
      <c r="A12" s="83"/>
      <c r="B12" s="324"/>
      <c r="C12" s="83"/>
      <c r="E12" s="83"/>
      <c r="F12" s="83"/>
      <c r="H12" s="325"/>
      <c r="N12" s="83"/>
      <c r="O12" s="83"/>
      <c r="P12" s="83"/>
    </row>
    <row r="13" spans="1:17">
      <c r="A13" s="83"/>
      <c r="B13" s="324"/>
      <c r="C13" s="83"/>
      <c r="E13" s="83"/>
      <c r="F13" s="83"/>
      <c r="H13" s="325"/>
      <c r="N13" s="83"/>
      <c r="O13" s="83"/>
      <c r="P13" s="83"/>
    </row>
    <row r="14" spans="1:17">
      <c r="A14" s="317" t="s">
        <v>35</v>
      </c>
      <c r="B14" s="326" t="s">
        <v>36</v>
      </c>
      <c r="C14" s="327" t="s">
        <v>37</v>
      </c>
      <c r="D14" s="93"/>
      <c r="E14" s="328" t="s">
        <v>38</v>
      </c>
      <c r="F14" s="329" t="s">
        <v>39</v>
      </c>
      <c r="G14" s="329" t="s">
        <v>40</v>
      </c>
      <c r="H14" s="330" t="s">
        <v>41</v>
      </c>
      <c r="N14" s="83"/>
      <c r="O14" s="83"/>
      <c r="P14" s="83"/>
      <c r="Q14" s="83"/>
    </row>
    <row r="15" spans="1:17">
      <c r="A15" s="331" t="s">
        <v>42</v>
      </c>
      <c r="B15" s="407">
        <v>0.1</v>
      </c>
      <c r="C15" s="405">
        <v>1</v>
      </c>
      <c r="D15" s="324"/>
      <c r="E15" s="332" t="s">
        <v>42</v>
      </c>
      <c r="F15" s="333">
        <v>0.1</v>
      </c>
      <c r="G15" s="334" t="s">
        <v>43</v>
      </c>
      <c r="H15" s="335" t="s">
        <v>44</v>
      </c>
      <c r="N15" s="83"/>
      <c r="O15" s="83"/>
    </row>
    <row r="16" spans="1:17">
      <c r="A16" s="331" t="s">
        <v>45</v>
      </c>
      <c r="B16" s="407">
        <v>0.11</v>
      </c>
      <c r="C16" s="405">
        <v>0</v>
      </c>
      <c r="D16" s="324"/>
      <c r="E16" s="332" t="s">
        <v>45</v>
      </c>
      <c r="F16" s="333">
        <v>0.11</v>
      </c>
      <c r="G16" s="334" t="s">
        <v>46</v>
      </c>
      <c r="H16" s="335" t="s">
        <v>47</v>
      </c>
    </row>
    <row r="17" spans="1:18">
      <c r="A17" s="331" t="s">
        <v>48</v>
      </c>
      <c r="B17" s="407">
        <v>0.08</v>
      </c>
      <c r="C17" s="405">
        <v>0</v>
      </c>
      <c r="D17" s="336"/>
      <c r="E17" s="332" t="s">
        <v>49</v>
      </c>
      <c r="F17" s="333">
        <v>0.08</v>
      </c>
      <c r="G17" s="334" t="s">
        <v>50</v>
      </c>
      <c r="H17" s="335" t="s">
        <v>51</v>
      </c>
    </row>
    <row r="18" spans="1:18">
      <c r="A18" s="331" t="s">
        <v>52</v>
      </c>
      <c r="B18" s="407">
        <v>0.14000000000000001</v>
      </c>
      <c r="C18" s="405">
        <v>0</v>
      </c>
      <c r="D18" s="336"/>
      <c r="E18" s="332" t="s">
        <v>52</v>
      </c>
      <c r="F18" s="333">
        <v>0.14000000000000001</v>
      </c>
      <c r="G18" s="334" t="s">
        <v>53</v>
      </c>
      <c r="H18" s="335" t="s">
        <v>54</v>
      </c>
    </row>
    <row r="19" spans="1:18">
      <c r="A19" s="331" t="s">
        <v>55</v>
      </c>
      <c r="B19" s="407">
        <v>0.125</v>
      </c>
      <c r="C19" s="405">
        <v>0</v>
      </c>
      <c r="D19" s="336"/>
      <c r="E19" s="332" t="s">
        <v>55</v>
      </c>
      <c r="F19" s="337">
        <v>0.125</v>
      </c>
      <c r="G19" s="334" t="s">
        <v>56</v>
      </c>
      <c r="H19" s="335" t="s">
        <v>57</v>
      </c>
    </row>
    <row r="20" spans="1:18">
      <c r="A20" s="331" t="s">
        <v>58</v>
      </c>
      <c r="B20" s="407">
        <v>0.09</v>
      </c>
      <c r="C20" s="405">
        <v>0</v>
      </c>
      <c r="D20" s="324"/>
      <c r="E20" s="332" t="s">
        <v>58</v>
      </c>
      <c r="F20" s="333">
        <v>0.09</v>
      </c>
      <c r="G20" s="334" t="s">
        <v>59</v>
      </c>
      <c r="H20" s="335" t="s">
        <v>60</v>
      </c>
      <c r="K20" s="64"/>
      <c r="L20" s="64"/>
      <c r="M20" s="64"/>
    </row>
    <row r="21" spans="1:18">
      <c r="A21" s="331" t="s">
        <v>61</v>
      </c>
      <c r="B21" s="407">
        <v>0.12</v>
      </c>
      <c r="C21" s="405">
        <v>0</v>
      </c>
      <c r="D21" s="324"/>
      <c r="E21" s="332" t="s">
        <v>61</v>
      </c>
      <c r="F21" s="333">
        <v>0.12</v>
      </c>
      <c r="G21" s="334" t="s">
        <v>62</v>
      </c>
      <c r="H21" s="338" t="s">
        <v>63</v>
      </c>
      <c r="K21" s="64"/>
      <c r="L21" s="64"/>
      <c r="M21" s="64"/>
    </row>
    <row r="22" spans="1:18">
      <c r="A22" s="331" t="s">
        <v>64</v>
      </c>
      <c r="B22" s="407">
        <v>0.2</v>
      </c>
      <c r="C22" s="405">
        <v>0</v>
      </c>
      <c r="D22" s="336"/>
      <c r="E22" s="339" t="s">
        <v>65</v>
      </c>
      <c r="F22" s="340">
        <v>0.2</v>
      </c>
      <c r="G22" s="341" t="s">
        <v>53</v>
      </c>
      <c r="H22" s="342" t="s">
        <v>66</v>
      </c>
    </row>
    <row r="23" spans="1:18">
      <c r="A23" s="331" t="s">
        <v>67</v>
      </c>
      <c r="B23" s="407">
        <v>0</v>
      </c>
      <c r="C23" s="405">
        <v>0</v>
      </c>
      <c r="D23" s="336"/>
      <c r="E23" s="528" t="s">
        <v>68</v>
      </c>
      <c r="F23" s="529"/>
      <c r="G23" s="529"/>
      <c r="H23" s="530"/>
    </row>
    <row r="24" spans="1:18">
      <c r="A24" s="331" t="s">
        <v>69</v>
      </c>
      <c r="B24" s="407">
        <v>0</v>
      </c>
      <c r="C24" s="405">
        <v>0</v>
      </c>
      <c r="D24" s="336"/>
      <c r="E24" s="83"/>
      <c r="F24" s="83"/>
      <c r="N24" s="83"/>
      <c r="O24" s="83"/>
      <c r="P24" s="83"/>
      <c r="Q24" s="83"/>
      <c r="R24" s="83"/>
    </row>
    <row r="25" spans="1:18">
      <c r="A25" s="343" t="s">
        <v>70</v>
      </c>
      <c r="B25" s="408">
        <v>0</v>
      </c>
      <c r="C25" s="409">
        <v>0</v>
      </c>
      <c r="D25" s="344"/>
      <c r="E25" s="83"/>
      <c r="F25" s="83"/>
      <c r="N25" s="83"/>
      <c r="O25" s="83"/>
      <c r="P25" s="83"/>
      <c r="Q25" s="83"/>
      <c r="R25" s="83"/>
    </row>
    <row r="26" spans="1:18">
      <c r="A26" s="518" t="s">
        <v>71</v>
      </c>
      <c r="B26" s="519"/>
      <c r="C26" s="345">
        <f>C15+C16+C17+C20+C21</f>
        <v>1</v>
      </c>
      <c r="D26" s="344"/>
      <c r="E26" s="83"/>
      <c r="F26" s="83"/>
      <c r="N26" s="83"/>
      <c r="O26" s="83"/>
      <c r="P26" s="83"/>
      <c r="Q26" s="83"/>
      <c r="R26" s="83"/>
    </row>
    <row r="27" spans="1:18">
      <c r="A27" s="520" t="s">
        <v>72</v>
      </c>
      <c r="B27" s="520"/>
      <c r="C27" s="346">
        <f>C18+C19+C22</f>
        <v>0</v>
      </c>
      <c r="D27" s="344"/>
      <c r="E27" s="83"/>
      <c r="F27" s="83"/>
      <c r="N27" s="83"/>
      <c r="O27" s="83"/>
      <c r="P27" s="83"/>
      <c r="Q27" s="83"/>
      <c r="R27" s="83"/>
    </row>
    <row r="28" spans="1:18">
      <c r="A28" s="343"/>
      <c r="B28" s="347" t="s">
        <v>73</v>
      </c>
      <c r="C28" s="348">
        <f>C23+C24+C25</f>
        <v>0</v>
      </c>
      <c r="D28" s="344"/>
      <c r="E28" s="83"/>
      <c r="F28" s="83"/>
      <c r="N28" s="83"/>
      <c r="O28" s="83"/>
      <c r="P28" s="83"/>
      <c r="Q28" s="83"/>
      <c r="R28" s="83"/>
    </row>
    <row r="29" spans="1:18">
      <c r="A29" s="521" t="str">
        <f>IF(SUM(C15:C25)=100%,"You've used all your raw product",IF(SUM(C15:C25)&gt;100%,"Error! You've used more raw product than you have",IF(SUM(C15:C25)&lt;100%,"You can still use:","")))</f>
        <v>You've used all your raw product</v>
      </c>
      <c r="B29" s="522"/>
      <c r="C29" s="349" t="str">
        <f>IF(A29="You can still use:",100%-SUM(C15:C25),"")</f>
        <v/>
      </c>
      <c r="E29" s="350"/>
      <c r="F29" s="350"/>
      <c r="N29" s="83"/>
      <c r="O29" s="83"/>
      <c r="P29" s="83"/>
      <c r="Q29" s="83"/>
      <c r="R29" s="83"/>
    </row>
    <row r="30" spans="1:18">
      <c r="A30" s="526" t="str">
        <f>IF(B25&gt;=1%,"","")</f>
        <v/>
      </c>
      <c r="B30" s="527"/>
      <c r="C30" s="351"/>
      <c r="E30" s="350"/>
      <c r="F30" s="350"/>
      <c r="N30" s="83"/>
      <c r="O30" s="83"/>
      <c r="P30" s="83"/>
      <c r="Q30" s="83"/>
      <c r="R30" s="83"/>
    </row>
    <row r="31" spans="1:18">
      <c r="A31" s="352"/>
      <c r="B31" s="352"/>
      <c r="C31" s="325"/>
      <c r="E31" s="350"/>
      <c r="F31" s="350"/>
      <c r="N31" s="83"/>
      <c r="O31" s="83"/>
      <c r="P31" s="83"/>
      <c r="Q31" s="83"/>
      <c r="R31" s="83"/>
    </row>
    <row r="32" spans="1:18">
      <c r="A32" s="353"/>
      <c r="B32" s="354"/>
      <c r="C32" s="325"/>
      <c r="E32" s="83"/>
      <c r="F32" s="83"/>
      <c r="K32" s="355"/>
      <c r="N32" s="83"/>
      <c r="O32" s="83"/>
      <c r="P32" s="83"/>
      <c r="Q32" s="83"/>
      <c r="R32" s="83"/>
    </row>
    <row r="33" spans="1:23">
      <c r="A33" s="516" t="s">
        <v>74</v>
      </c>
      <c r="B33" s="517"/>
      <c r="C33" s="83"/>
      <c r="D33" s="94"/>
      <c r="E33" s="95"/>
      <c r="F33" s="95"/>
      <c r="G33" s="95"/>
      <c r="H33" s="95"/>
      <c r="N33" s="503"/>
      <c r="O33" s="503"/>
      <c r="P33" s="503"/>
      <c r="Q33" s="83"/>
      <c r="R33" s="83"/>
    </row>
    <row r="34" spans="1:23">
      <c r="A34" s="504" t="s">
        <v>75</v>
      </c>
      <c r="B34" s="505"/>
      <c r="C34" s="83"/>
      <c r="D34" s="94"/>
      <c r="E34" s="94"/>
      <c r="F34" s="356"/>
      <c r="G34" s="357"/>
      <c r="H34" s="357"/>
      <c r="N34" s="358"/>
      <c r="O34" s="352"/>
      <c r="P34" s="352"/>
      <c r="Q34" s="352"/>
      <c r="R34" s="83"/>
      <c r="S34" s="83"/>
    </row>
    <row r="35" spans="1:23">
      <c r="A35" s="359" t="s">
        <v>76</v>
      </c>
      <c r="B35" s="410">
        <v>25</v>
      </c>
      <c r="D35" s="94"/>
      <c r="E35" s="94"/>
      <c r="F35" s="356"/>
      <c r="G35" s="357"/>
      <c r="H35" s="357"/>
      <c r="N35" s="83"/>
      <c r="O35" s="83"/>
      <c r="P35" s="98"/>
      <c r="Q35" s="98"/>
      <c r="R35" s="83"/>
      <c r="S35" s="83"/>
    </row>
    <row r="36" spans="1:23">
      <c r="A36" s="359" t="s">
        <v>77</v>
      </c>
      <c r="B36" s="411">
        <v>4</v>
      </c>
      <c r="C36" s="83"/>
      <c r="D36" s="94"/>
      <c r="E36" s="94"/>
      <c r="F36" s="83"/>
      <c r="G36" s="357"/>
      <c r="H36" s="357"/>
      <c r="K36" s="358"/>
      <c r="L36" s="98"/>
      <c r="M36" s="98"/>
      <c r="N36" s="358"/>
      <c r="O36" s="98"/>
      <c r="P36" s="98"/>
      <c r="Q36" s="83"/>
      <c r="R36" s="83"/>
      <c r="S36" s="83"/>
    </row>
    <row r="37" spans="1:23">
      <c r="A37" s="359" t="s">
        <v>78</v>
      </c>
      <c r="B37" s="412">
        <v>38.42</v>
      </c>
      <c r="C37" s="83"/>
      <c r="D37" s="94"/>
      <c r="E37" s="94"/>
      <c r="F37" s="83"/>
      <c r="G37" s="357"/>
      <c r="H37" s="357"/>
      <c r="K37" s="358"/>
      <c r="L37" s="98"/>
      <c r="M37" s="98"/>
      <c r="N37" s="358"/>
      <c r="O37" s="98"/>
      <c r="P37" s="98"/>
      <c r="Q37" s="83"/>
      <c r="R37" s="83"/>
      <c r="S37" s="83"/>
    </row>
    <row r="38" spans="1:23">
      <c r="A38" s="504" t="s">
        <v>79</v>
      </c>
      <c r="B38" s="505"/>
      <c r="C38" s="91"/>
      <c r="D38" s="94"/>
      <c r="E38" s="94"/>
      <c r="F38" s="83"/>
      <c r="G38" s="64"/>
      <c r="H38" s="357"/>
      <c r="K38" s="358"/>
      <c r="L38" s="98"/>
      <c r="M38" s="98"/>
      <c r="N38" s="358"/>
      <c r="O38" s="98"/>
      <c r="P38" s="98"/>
      <c r="Q38" s="83"/>
      <c r="R38" s="83"/>
      <c r="S38" s="83"/>
    </row>
    <row r="39" spans="1:23">
      <c r="A39" s="359" t="s">
        <v>80</v>
      </c>
      <c r="B39" s="413" t="s">
        <v>81</v>
      </c>
      <c r="C39" s="91"/>
      <c r="D39" s="94"/>
      <c r="E39" s="94"/>
      <c r="H39" s="357"/>
      <c r="K39" s="358"/>
      <c r="L39" s="98"/>
      <c r="M39" s="98"/>
      <c r="N39" s="358"/>
      <c r="O39" s="98"/>
      <c r="P39" s="98"/>
      <c r="Q39" s="83"/>
      <c r="R39" s="83"/>
      <c r="S39" s="83"/>
    </row>
    <row r="40" spans="1:23">
      <c r="A40" s="331" t="s">
        <v>82</v>
      </c>
      <c r="B40" s="413"/>
      <c r="C40" s="91"/>
      <c r="D40" s="94"/>
      <c r="E40" s="94"/>
      <c r="F40" s="514" t="s">
        <v>83</v>
      </c>
      <c r="G40" s="514"/>
      <c r="H40" s="357"/>
      <c r="K40" s="358"/>
      <c r="L40" s="98"/>
      <c r="M40" s="98"/>
      <c r="N40" s="358"/>
      <c r="O40" s="98"/>
      <c r="P40" s="98"/>
      <c r="Q40" s="83"/>
      <c r="R40" s="83"/>
      <c r="S40" s="83"/>
    </row>
    <row r="41" spans="1:23">
      <c r="A41" s="359" t="s">
        <v>84</v>
      </c>
      <c r="B41" s="411">
        <v>123</v>
      </c>
      <c r="C41" s="360"/>
      <c r="D41" s="94"/>
      <c r="E41" s="83"/>
      <c r="F41" s="361" t="s">
        <v>84</v>
      </c>
      <c r="G41" s="362">
        <f>'CWT Costs'!B25</f>
        <v>2892.4534455960052</v>
      </c>
      <c r="H41" s="357"/>
      <c r="K41" s="358"/>
      <c r="L41" s="98"/>
      <c r="M41" s="98"/>
      <c r="N41" s="358"/>
      <c r="O41" s="98"/>
      <c r="P41" s="98"/>
      <c r="Q41" s="83"/>
      <c r="R41" s="83"/>
      <c r="S41" s="83"/>
    </row>
    <row r="42" spans="1:23">
      <c r="A42" s="359" t="s">
        <v>85</v>
      </c>
      <c r="B42" s="410">
        <v>104</v>
      </c>
      <c r="C42" s="83"/>
      <c r="D42" s="94"/>
      <c r="E42" s="94"/>
      <c r="F42" s="363" t="s">
        <v>86</v>
      </c>
      <c r="G42" s="364"/>
      <c r="H42" s="356"/>
      <c r="K42" s="358"/>
      <c r="L42" s="98"/>
      <c r="M42" s="98"/>
      <c r="N42" s="358"/>
      <c r="O42" s="98"/>
      <c r="P42" s="98"/>
      <c r="Q42" s="83"/>
      <c r="R42" s="83"/>
      <c r="S42" s="83"/>
    </row>
    <row r="43" spans="1:23">
      <c r="A43" s="359" t="s">
        <v>87</v>
      </c>
      <c r="B43" s="411">
        <v>133</v>
      </c>
      <c r="C43" s="83"/>
      <c r="D43" s="414">
        <v>150000</v>
      </c>
      <c r="E43" s="94"/>
      <c r="F43" s="359" t="s">
        <v>87</v>
      </c>
      <c r="G43" s="365">
        <f>'CWT Costs'!B26</f>
        <v>132.75071232320332</v>
      </c>
      <c r="H43" s="356"/>
      <c r="K43" s="358"/>
      <c r="L43" s="98"/>
      <c r="M43" s="98"/>
      <c r="N43" s="366"/>
      <c r="O43" s="98"/>
      <c r="P43" s="98"/>
      <c r="Q43" s="83"/>
      <c r="R43" s="83"/>
      <c r="S43" s="83"/>
    </row>
    <row r="44" spans="1:23">
      <c r="A44" s="359" t="s">
        <v>88</v>
      </c>
      <c r="B44" s="410">
        <v>259714.85</v>
      </c>
      <c r="C44" s="427"/>
      <c r="D44" s="428"/>
      <c r="E44" s="428"/>
      <c r="F44" s="367" t="s">
        <v>89</v>
      </c>
      <c r="G44" s="368">
        <f>'CWT Costs'!B27</f>
        <v>29191.29242932847</v>
      </c>
      <c r="H44" s="356"/>
      <c r="K44" s="369"/>
      <c r="L44" s="370"/>
      <c r="M44" s="98"/>
      <c r="N44" s="371"/>
      <c r="O44" s="369"/>
      <c r="P44" s="98"/>
      <c r="Q44" s="83"/>
      <c r="R44" s="83"/>
      <c r="S44" s="83"/>
    </row>
    <row r="45" spans="1:23">
      <c r="A45" s="506" t="s">
        <v>90</v>
      </c>
      <c r="B45" s="507"/>
      <c r="C45" s="427"/>
      <c r="D45" s="428"/>
      <c r="E45" s="428"/>
      <c r="F45" s="372" t="s">
        <v>91</v>
      </c>
      <c r="G45" s="356"/>
      <c r="H45" s="356"/>
      <c r="K45" s="352"/>
      <c r="L45" s="373"/>
      <c r="M45" s="98"/>
      <c r="N45" s="366"/>
      <c r="O45" s="98"/>
      <c r="P45" s="98"/>
      <c r="Q45" s="83"/>
      <c r="R45" s="83"/>
      <c r="S45" s="83"/>
    </row>
    <row r="46" spans="1:23">
      <c r="A46" s="374" t="s">
        <v>92</v>
      </c>
      <c r="B46" s="410">
        <v>5.1100000000000003</v>
      </c>
      <c r="C46" s="427"/>
      <c r="D46" s="428"/>
      <c r="E46" s="428"/>
      <c r="F46" s="375" t="s">
        <v>93</v>
      </c>
      <c r="G46" s="376">
        <f>'CWT Costs'!G4</f>
        <v>4.5600000000000005</v>
      </c>
      <c r="H46" s="356"/>
      <c r="K46" s="358"/>
      <c r="L46" s="98"/>
      <c r="M46" s="98"/>
      <c r="N46" s="366"/>
      <c r="O46" s="98"/>
      <c r="P46" s="98"/>
      <c r="Q46" s="83"/>
      <c r="R46" s="83"/>
      <c r="S46" s="83"/>
      <c r="T46" s="83"/>
      <c r="U46" s="83"/>
      <c r="V46" s="83"/>
      <c r="W46" s="83"/>
    </row>
    <row r="47" spans="1:23">
      <c r="A47" s="359" t="s">
        <v>94</v>
      </c>
      <c r="B47" s="410">
        <v>5.27</v>
      </c>
      <c r="C47" s="429"/>
      <c r="D47" s="428"/>
      <c r="E47" s="430"/>
      <c r="F47" s="377" t="s">
        <v>90</v>
      </c>
      <c r="G47" s="378">
        <f>'CWT Costs'!G17</f>
        <v>11.099999999999998</v>
      </c>
      <c r="N47" s="83"/>
      <c r="O47" s="83"/>
      <c r="P47" s="83"/>
      <c r="Q47" s="83"/>
      <c r="R47" s="83"/>
      <c r="S47" s="83"/>
      <c r="T47" s="83"/>
      <c r="U47" s="83"/>
      <c r="V47" s="83"/>
    </row>
    <row r="48" spans="1:23">
      <c r="A48" s="359" t="s">
        <v>95</v>
      </c>
      <c r="B48" s="410">
        <v>25.68</v>
      </c>
      <c r="C48" s="427"/>
      <c r="D48" s="431"/>
      <c r="E48" s="431"/>
      <c r="F48" s="83"/>
      <c r="N48" s="83"/>
      <c r="O48" s="83"/>
      <c r="P48" s="83"/>
      <c r="Q48" s="83"/>
      <c r="R48" s="83"/>
      <c r="S48" s="83"/>
      <c r="T48" s="83"/>
      <c r="U48" s="83"/>
      <c r="V48" s="83"/>
    </row>
    <row r="49" spans="1:22">
      <c r="A49" s="516" t="s">
        <v>96</v>
      </c>
      <c r="B49" s="517"/>
      <c r="C49" s="508" t="s">
        <v>97</v>
      </c>
      <c r="D49" s="509"/>
      <c r="E49" s="509"/>
      <c r="F49" s="509"/>
      <c r="G49" s="510"/>
      <c r="N49" s="83"/>
      <c r="O49" s="83"/>
      <c r="P49" s="83"/>
      <c r="Q49" s="83"/>
      <c r="R49" s="83"/>
      <c r="S49" s="83"/>
      <c r="T49" s="83"/>
      <c r="U49" s="83"/>
      <c r="V49" s="83"/>
    </row>
    <row r="50" spans="1:22">
      <c r="A50" s="359" t="s">
        <v>98</v>
      </c>
      <c r="B50" s="410">
        <v>23.23</v>
      </c>
      <c r="C50" s="511"/>
      <c r="D50" s="512"/>
      <c r="E50" s="512"/>
      <c r="F50" s="512"/>
      <c r="G50" s="513"/>
      <c r="N50" s="83"/>
      <c r="O50" s="83"/>
      <c r="P50" s="83"/>
      <c r="Q50" s="83"/>
      <c r="R50" s="83"/>
      <c r="S50" s="83"/>
      <c r="T50" s="83"/>
      <c r="U50" s="83"/>
      <c r="V50" s="83"/>
    </row>
    <row r="51" spans="1:22" ht="54">
      <c r="A51" s="504" t="s">
        <v>99</v>
      </c>
      <c r="B51" s="505"/>
      <c r="C51" s="83"/>
      <c r="D51" s="381" t="s">
        <v>100</v>
      </c>
      <c r="E51" s="381" t="s">
        <v>101</v>
      </c>
      <c r="F51" s="381" t="s">
        <v>102</v>
      </c>
      <c r="G51" s="382" t="s">
        <v>103</v>
      </c>
      <c r="J51" s="383"/>
      <c r="K51" s="358"/>
      <c r="L51" s="98"/>
      <c r="M51" s="371"/>
      <c r="N51" s="83"/>
      <c r="O51" s="83"/>
      <c r="P51" s="83"/>
      <c r="Q51" s="83"/>
      <c r="R51" s="83"/>
      <c r="S51" s="83"/>
      <c r="T51" s="83"/>
      <c r="U51" s="83"/>
      <c r="V51" s="83"/>
    </row>
    <row r="52" spans="1:22">
      <c r="A52" s="359" t="s">
        <v>42</v>
      </c>
      <c r="B52" s="410">
        <v>10.5</v>
      </c>
      <c r="C52" s="83" t="s">
        <v>42</v>
      </c>
      <c r="D52" s="136">
        <v>8.99</v>
      </c>
      <c r="E52" s="136">
        <v>14.03</v>
      </c>
      <c r="F52" s="136">
        <v>19.989999999999998</v>
      </c>
      <c r="G52" s="384"/>
      <c r="N52" s="83"/>
      <c r="O52" s="83"/>
      <c r="P52" s="83"/>
      <c r="Q52" s="83"/>
      <c r="R52" s="83"/>
      <c r="S52" s="83"/>
      <c r="T52" s="83"/>
      <c r="U52" s="83"/>
      <c r="V52" s="83"/>
    </row>
    <row r="53" spans="1:22">
      <c r="A53" s="359" t="s">
        <v>45</v>
      </c>
      <c r="B53" s="410">
        <v>0</v>
      </c>
      <c r="C53" s="83" t="s">
        <v>45</v>
      </c>
      <c r="D53" s="136">
        <v>9.99</v>
      </c>
      <c r="E53" s="136">
        <v>16.82</v>
      </c>
      <c r="F53" s="136">
        <v>19.989999999999998</v>
      </c>
      <c r="G53" s="384">
        <v>0.2</v>
      </c>
      <c r="N53" s="83"/>
      <c r="O53" s="83"/>
      <c r="P53" s="83"/>
      <c r="Q53" s="83"/>
      <c r="R53" s="83"/>
      <c r="S53" s="83"/>
      <c r="T53" s="83"/>
      <c r="U53" s="83"/>
      <c r="V53" s="83"/>
    </row>
    <row r="54" spans="1:22">
      <c r="A54" s="359" t="s">
        <v>48</v>
      </c>
      <c r="B54" s="410">
        <v>0</v>
      </c>
      <c r="C54" s="83" t="s">
        <v>48</v>
      </c>
      <c r="D54" s="136">
        <v>17.989999999999998</v>
      </c>
      <c r="E54" s="136">
        <v>18.420000000000002</v>
      </c>
      <c r="F54" s="136">
        <v>19.989999999999998</v>
      </c>
      <c r="G54" s="384">
        <v>0.31</v>
      </c>
      <c r="N54" s="83"/>
      <c r="O54" s="83"/>
      <c r="P54" s="83"/>
      <c r="Q54" s="83"/>
      <c r="R54" s="83"/>
      <c r="S54" s="83"/>
      <c r="T54" s="83"/>
      <c r="U54" s="83"/>
      <c r="V54" s="83"/>
    </row>
    <row r="55" spans="1:22">
      <c r="A55" s="359" t="s">
        <v>52</v>
      </c>
      <c r="B55" s="410">
        <v>0</v>
      </c>
      <c r="C55" s="83" t="s">
        <v>52</v>
      </c>
      <c r="D55" s="136">
        <v>6.98</v>
      </c>
      <c r="E55" s="136">
        <v>11.87</v>
      </c>
      <c r="F55" s="136">
        <v>23.98</v>
      </c>
      <c r="G55" s="384">
        <v>-0.15</v>
      </c>
      <c r="N55" s="83"/>
      <c r="O55" s="83"/>
      <c r="P55" s="83"/>
      <c r="Q55" s="83"/>
      <c r="R55" s="83"/>
      <c r="S55" s="83"/>
      <c r="T55" s="83"/>
      <c r="U55" s="83"/>
      <c r="V55" s="83"/>
    </row>
    <row r="56" spans="1:22">
      <c r="A56" s="359" t="s">
        <v>55</v>
      </c>
      <c r="B56" s="410">
        <v>0</v>
      </c>
      <c r="C56" s="83" t="s">
        <v>55</v>
      </c>
      <c r="D56" s="136">
        <v>10.029999999999999</v>
      </c>
      <c r="E56" s="136">
        <v>16.5</v>
      </c>
      <c r="F56" s="136">
        <v>20.99</v>
      </c>
      <c r="G56" s="384">
        <v>0.18</v>
      </c>
      <c r="N56" s="83"/>
      <c r="O56" s="83"/>
      <c r="P56" s="83"/>
      <c r="Q56" s="83"/>
      <c r="R56" s="83"/>
      <c r="S56" s="83"/>
      <c r="T56" s="83"/>
      <c r="U56" s="83"/>
      <c r="V56" s="83"/>
    </row>
    <row r="57" spans="1:22">
      <c r="A57" s="359" t="s">
        <v>58</v>
      </c>
      <c r="B57" s="410">
        <v>0</v>
      </c>
      <c r="C57" s="83" t="s">
        <v>58</v>
      </c>
      <c r="D57" s="136">
        <v>12.99</v>
      </c>
      <c r="E57" s="136">
        <v>17.97</v>
      </c>
      <c r="F57" s="136">
        <v>29.99</v>
      </c>
      <c r="G57" s="385">
        <v>0.28000000000000003</v>
      </c>
      <c r="H57" s="386"/>
      <c r="I57" s="386"/>
      <c r="J57" s="386"/>
      <c r="K57" s="501"/>
      <c r="L57" s="501"/>
      <c r="M57" s="501"/>
      <c r="N57" s="501"/>
      <c r="O57" s="501"/>
      <c r="P57" s="501"/>
      <c r="Q57" s="501"/>
      <c r="R57" s="501"/>
      <c r="S57" s="501"/>
      <c r="T57" s="83"/>
      <c r="U57" s="83"/>
      <c r="V57" s="83"/>
    </row>
    <row r="58" spans="1:22">
      <c r="A58" s="359" t="s">
        <v>104</v>
      </c>
      <c r="B58" s="410">
        <v>0</v>
      </c>
      <c r="C58" s="83" t="s">
        <v>104</v>
      </c>
      <c r="D58" s="136">
        <v>11.62</v>
      </c>
      <c r="E58" s="136">
        <v>17.809999999999999</v>
      </c>
      <c r="F58" s="136">
        <v>23.49</v>
      </c>
      <c r="G58" s="384">
        <v>0.27</v>
      </c>
      <c r="N58" s="83"/>
      <c r="O58" s="83"/>
      <c r="P58" s="83"/>
      <c r="Q58" s="83"/>
      <c r="R58" s="83"/>
      <c r="S58" s="83"/>
      <c r="T58" s="83"/>
      <c r="U58" s="83"/>
      <c r="V58" s="83"/>
    </row>
    <row r="59" spans="1:22">
      <c r="A59" s="359" t="s">
        <v>64</v>
      </c>
      <c r="B59" s="410">
        <v>0</v>
      </c>
      <c r="C59" s="83" t="s">
        <v>64</v>
      </c>
      <c r="D59" s="136">
        <v>4.38</v>
      </c>
      <c r="E59" s="136">
        <v>15.83</v>
      </c>
      <c r="F59" s="136">
        <v>37.33</v>
      </c>
      <c r="G59" s="385">
        <v>0.13</v>
      </c>
      <c r="H59" s="387"/>
      <c r="I59" s="386"/>
      <c r="J59" s="386"/>
      <c r="K59" s="502"/>
      <c r="L59" s="502"/>
      <c r="M59" s="502"/>
      <c r="N59" s="502"/>
      <c r="O59" s="502"/>
      <c r="P59" s="502"/>
      <c r="Q59" s="502"/>
      <c r="R59" s="502"/>
      <c r="S59" s="502"/>
      <c r="T59" s="83"/>
      <c r="U59" s="83"/>
      <c r="V59" s="83"/>
    </row>
    <row r="60" spans="1:22">
      <c r="A60" s="359" t="s">
        <v>105</v>
      </c>
      <c r="B60" s="410">
        <v>0</v>
      </c>
      <c r="C60" s="83" t="s">
        <v>105</v>
      </c>
      <c r="E60" s="83"/>
      <c r="F60" s="83"/>
      <c r="G60" s="388"/>
      <c r="H60" s="101"/>
      <c r="I60" s="101"/>
      <c r="J60" s="101"/>
      <c r="K60" s="101"/>
      <c r="L60" s="101"/>
      <c r="M60" s="101"/>
      <c r="N60" s="101"/>
      <c r="O60" s="101"/>
      <c r="P60" s="101"/>
      <c r="Q60" s="101"/>
      <c r="R60" s="101"/>
      <c r="S60" s="101"/>
      <c r="T60" s="83"/>
      <c r="U60" s="83"/>
      <c r="V60" s="83"/>
    </row>
    <row r="61" spans="1:22">
      <c r="A61" s="359" t="s">
        <v>106</v>
      </c>
      <c r="B61" s="410">
        <v>0</v>
      </c>
      <c r="C61" s="83" t="s">
        <v>106</v>
      </c>
      <c r="E61" s="83"/>
      <c r="F61" s="83"/>
      <c r="G61" s="319"/>
      <c r="N61" s="83"/>
      <c r="O61" s="83"/>
      <c r="P61" s="83"/>
      <c r="Q61" s="83"/>
      <c r="R61" s="83"/>
      <c r="S61" s="83"/>
      <c r="T61" s="83"/>
      <c r="U61" s="83"/>
      <c r="V61" s="83"/>
    </row>
    <row r="62" spans="1:22">
      <c r="A62" s="389" t="s">
        <v>107</v>
      </c>
      <c r="B62" s="415">
        <v>0</v>
      </c>
      <c r="C62" s="390" t="s">
        <v>107</v>
      </c>
      <c r="D62" s="139"/>
      <c r="E62" s="139"/>
      <c r="F62" s="390"/>
      <c r="G62" s="391"/>
      <c r="N62" s="83"/>
      <c r="O62" s="83"/>
      <c r="P62" s="83"/>
      <c r="Q62" s="83"/>
      <c r="R62" s="83"/>
      <c r="S62" s="83"/>
      <c r="T62" s="83"/>
      <c r="U62" s="83"/>
      <c r="V62" s="83"/>
    </row>
    <row r="63" spans="1:22">
      <c r="A63" s="323"/>
      <c r="B63" s="322"/>
      <c r="C63" s="83"/>
      <c r="E63" s="83"/>
      <c r="F63" s="83"/>
      <c r="J63" s="95"/>
      <c r="K63" s="95"/>
      <c r="L63" s="95"/>
      <c r="M63" s="95"/>
      <c r="N63" s="95"/>
      <c r="O63" s="95"/>
      <c r="P63" s="83"/>
      <c r="Q63" s="83"/>
      <c r="R63" s="83"/>
    </row>
    <row r="64" spans="1:22" ht="42" customHeight="1">
      <c r="A64" s="523" t="s">
        <v>108</v>
      </c>
      <c r="B64" s="524"/>
      <c r="C64" s="524"/>
      <c r="D64" s="524"/>
      <c r="E64" s="525"/>
      <c r="F64" s="83"/>
      <c r="J64" s="95"/>
      <c r="K64" s="95"/>
      <c r="L64" s="95"/>
      <c r="M64" s="95"/>
      <c r="N64" s="95"/>
      <c r="O64" s="95"/>
      <c r="P64" s="83"/>
      <c r="Q64" s="83"/>
      <c r="R64" s="83"/>
    </row>
    <row r="65" spans="1:16" ht="36">
      <c r="A65" s="91"/>
      <c r="B65" s="322"/>
      <c r="C65" s="83" t="s">
        <v>109</v>
      </c>
      <c r="D65" s="83" t="s">
        <v>110</v>
      </c>
      <c r="E65" s="392" t="s">
        <v>111</v>
      </c>
      <c r="F65" s="83"/>
      <c r="J65" s="95"/>
      <c r="K65" s="95"/>
      <c r="L65" s="95"/>
      <c r="M65" s="95"/>
      <c r="N65" s="95"/>
      <c r="O65" s="95"/>
      <c r="P65" s="95"/>
    </row>
    <row r="66" spans="1:16">
      <c r="A66" s="331" t="s">
        <v>112</v>
      </c>
      <c r="B66" s="416" t="s">
        <v>113</v>
      </c>
      <c r="C66" s="417">
        <v>1500</v>
      </c>
      <c r="D66" s="418"/>
      <c r="E66" s="319" t="str">
        <f>IF(B66="Quoted Aging Room Env. Controls","No Required Input",IF(B66="","","No Required Input"))</f>
        <v>No Required Input</v>
      </c>
      <c r="F66" s="101"/>
      <c r="N66" s="83"/>
    </row>
    <row r="67" spans="1:16">
      <c r="A67" s="331" t="s">
        <v>114</v>
      </c>
      <c r="B67" s="416" t="s">
        <v>115</v>
      </c>
      <c r="C67" s="417">
        <v>1769.27</v>
      </c>
      <c r="D67" s="418"/>
      <c r="E67" s="319" t="str">
        <f>IF(B67="Quoted Aging Room Storage","No Required Input",IF(B67="","","No Required Input"))</f>
        <v>No Required Input</v>
      </c>
      <c r="F67" s="101"/>
      <c r="H67" s="537"/>
      <c r="I67" s="537"/>
      <c r="J67" s="393"/>
      <c r="N67" s="83"/>
    </row>
    <row r="68" spans="1:16">
      <c r="A68" s="331" t="s">
        <v>116</v>
      </c>
      <c r="B68" s="416" t="s">
        <v>117</v>
      </c>
      <c r="C68" s="417">
        <v>24750</v>
      </c>
      <c r="D68" s="418"/>
      <c r="E68" s="319" t="str">
        <f>IF(B68="Quoted Brine Tank","No Required Input",IF(B68="","","No Required Input"))</f>
        <v>No Required Input</v>
      </c>
      <c r="F68" s="101"/>
      <c r="H68" s="537"/>
      <c r="I68" s="537"/>
      <c r="J68" s="393"/>
      <c r="L68" s="153"/>
      <c r="N68" s="83"/>
    </row>
    <row r="69" spans="1:16">
      <c r="A69" s="331" t="s">
        <v>118</v>
      </c>
      <c r="B69" s="416" t="s">
        <v>117</v>
      </c>
      <c r="C69" s="417">
        <v>62200</v>
      </c>
      <c r="D69" s="418"/>
      <c r="E69" s="319" t="str">
        <f>IF(B69="Quoted Brushing Machine","No Required Input",IF(B69="","","No Required Input"))</f>
        <v>No Required Input</v>
      </c>
      <c r="F69" s="101"/>
      <c r="H69" s="537"/>
      <c r="I69" s="537"/>
      <c r="J69" s="393"/>
      <c r="L69" s="153"/>
      <c r="N69" s="83"/>
    </row>
    <row r="70" spans="1:16">
      <c r="A70" s="331" t="s">
        <v>119</v>
      </c>
      <c r="B70" s="416" t="s">
        <v>117</v>
      </c>
      <c r="C70" s="417">
        <v>14190</v>
      </c>
      <c r="D70" s="418"/>
      <c r="E70" s="319" t="str">
        <f>IF(B70="Quoted Cheese Piercer","No Required Input",IF(B70="","","No Required Input"))</f>
        <v>No Required Input</v>
      </c>
      <c r="F70" s="101"/>
      <c r="H70" s="537"/>
      <c r="I70" s="502"/>
      <c r="J70" s="101"/>
      <c r="K70" s="394"/>
      <c r="L70" s="153"/>
      <c r="N70" s="83"/>
    </row>
    <row r="71" spans="1:16">
      <c r="A71" s="331" t="s">
        <v>120</v>
      </c>
      <c r="B71" s="416" t="s">
        <v>121</v>
      </c>
      <c r="C71" s="417">
        <v>2132.25</v>
      </c>
      <c r="D71" s="418"/>
      <c r="E71" s="319" t="str">
        <f t="shared" ref="E71:E82" si="0">IF(B71="Quoted Aging Room Env. Controls","No Required Input",IF(B71="","","No Required Input"))</f>
        <v>No Required Input</v>
      </c>
      <c r="F71" s="101"/>
      <c r="H71" s="537"/>
      <c r="I71" s="537"/>
      <c r="J71" s="101"/>
      <c r="K71" s="394"/>
      <c r="L71" s="153"/>
      <c r="N71" s="83"/>
    </row>
    <row r="72" spans="1:16">
      <c r="A72" s="331" t="s">
        <v>122</v>
      </c>
      <c r="B72" s="416" t="s">
        <v>123</v>
      </c>
      <c r="C72" s="417">
        <v>19497.66</v>
      </c>
      <c r="D72" s="418"/>
      <c r="E72" s="319" t="str">
        <f t="shared" si="0"/>
        <v>No Required Input</v>
      </c>
      <c r="F72" s="101"/>
      <c r="G72" s="95"/>
      <c r="H72" s="537"/>
      <c r="I72" s="537"/>
      <c r="J72" s="101"/>
      <c r="K72" s="394"/>
      <c r="L72" s="153"/>
      <c r="N72" s="83"/>
    </row>
    <row r="73" spans="1:16">
      <c r="A73" s="331" t="s">
        <v>124</v>
      </c>
      <c r="B73" s="416" t="s">
        <v>125</v>
      </c>
      <c r="C73" s="417">
        <v>5118.87</v>
      </c>
      <c r="D73" s="418"/>
      <c r="E73" s="319" t="str">
        <f t="shared" si="0"/>
        <v>No Required Input</v>
      </c>
      <c r="F73" s="101"/>
      <c r="G73" s="95"/>
      <c r="H73" s="501"/>
      <c r="I73" s="502"/>
      <c r="J73" s="101"/>
      <c r="L73" s="153"/>
      <c r="N73" s="83"/>
    </row>
    <row r="74" spans="1:16">
      <c r="A74" s="331" t="s">
        <v>126</v>
      </c>
      <c r="B74" s="416" t="s">
        <v>127</v>
      </c>
      <c r="C74" s="417">
        <v>12120.57</v>
      </c>
      <c r="D74" s="418"/>
      <c r="E74" s="319" t="str">
        <f t="shared" si="0"/>
        <v>No Required Input</v>
      </c>
      <c r="F74" s="101"/>
      <c r="G74" s="95"/>
      <c r="H74" s="501"/>
      <c r="I74" s="502"/>
      <c r="J74" s="101"/>
      <c r="L74" s="153"/>
      <c r="N74" s="83"/>
    </row>
    <row r="75" spans="1:16">
      <c r="A75" s="331" t="s">
        <v>128</v>
      </c>
      <c r="B75" s="416" t="s">
        <v>129</v>
      </c>
      <c r="C75" s="417">
        <v>10262.64</v>
      </c>
      <c r="D75" s="418"/>
      <c r="E75" s="319" t="str">
        <f t="shared" si="0"/>
        <v>No Required Input</v>
      </c>
      <c r="F75" s="101"/>
      <c r="G75" s="95"/>
      <c r="H75" s="501"/>
      <c r="I75" s="502"/>
      <c r="J75" s="101"/>
      <c r="N75" s="83"/>
    </row>
    <row r="76" spans="1:16">
      <c r="A76" s="331" t="s">
        <v>130</v>
      </c>
      <c r="B76" s="416" t="s">
        <v>117</v>
      </c>
      <c r="C76" s="417">
        <v>99493</v>
      </c>
      <c r="D76" s="418"/>
      <c r="E76" s="319" t="str">
        <f t="shared" si="0"/>
        <v>No Required Input</v>
      </c>
      <c r="F76" s="101"/>
      <c r="G76" s="95"/>
      <c r="H76" s="501"/>
      <c r="I76" s="502"/>
      <c r="J76" s="101"/>
      <c r="N76" s="83"/>
    </row>
    <row r="77" spans="1:16">
      <c r="A77" s="331" t="s">
        <v>131</v>
      </c>
      <c r="B77" s="416" t="s">
        <v>117</v>
      </c>
      <c r="C77" s="417">
        <v>65000</v>
      </c>
      <c r="D77" s="418"/>
      <c r="E77" s="319" t="str">
        <f t="shared" si="0"/>
        <v>No Required Input</v>
      </c>
      <c r="F77" s="101"/>
      <c r="G77" s="95"/>
      <c r="H77" s="501"/>
      <c r="I77" s="502"/>
      <c r="J77" s="101"/>
      <c r="N77" s="83"/>
    </row>
    <row r="78" spans="1:16">
      <c r="A78" s="331" t="s">
        <v>132</v>
      </c>
      <c r="B78" s="416" t="s">
        <v>133</v>
      </c>
      <c r="C78" s="417">
        <v>40299.25</v>
      </c>
      <c r="D78" s="418"/>
      <c r="E78" s="319" t="str">
        <f t="shared" si="0"/>
        <v>No Required Input</v>
      </c>
      <c r="F78" s="101"/>
      <c r="G78" s="95"/>
      <c r="H78" s="501"/>
      <c r="I78" s="502"/>
      <c r="J78" s="101"/>
      <c r="N78" s="83"/>
    </row>
    <row r="79" spans="1:16">
      <c r="A79" s="331" t="s">
        <v>134</v>
      </c>
      <c r="B79" s="416" t="s">
        <v>135</v>
      </c>
      <c r="C79" s="417">
        <v>31911.07</v>
      </c>
      <c r="D79" s="418"/>
      <c r="E79" s="319" t="str">
        <f t="shared" si="0"/>
        <v>No Required Input</v>
      </c>
      <c r="F79" s="101"/>
      <c r="G79" s="95"/>
      <c r="H79" s="501"/>
      <c r="I79" s="502"/>
      <c r="J79" s="101"/>
      <c r="N79" s="83"/>
    </row>
    <row r="80" spans="1:16">
      <c r="A80" s="331" t="s">
        <v>136</v>
      </c>
      <c r="B80" s="416" t="s">
        <v>117</v>
      </c>
      <c r="C80" s="417">
        <v>27381.439999999999</v>
      </c>
      <c r="D80" s="418"/>
      <c r="E80" s="319" t="str">
        <f t="shared" si="0"/>
        <v>No Required Input</v>
      </c>
      <c r="F80" s="101"/>
      <c r="G80" s="95"/>
      <c r="H80" s="501"/>
      <c r="I80" s="502"/>
      <c r="J80" s="101"/>
      <c r="N80" s="83"/>
    </row>
    <row r="81" spans="1:14">
      <c r="A81" s="331" t="s">
        <v>137</v>
      </c>
      <c r="B81" s="416" t="s">
        <v>117</v>
      </c>
      <c r="C81" s="417">
        <v>0</v>
      </c>
      <c r="D81" s="418"/>
      <c r="E81" s="319" t="str">
        <f t="shared" si="0"/>
        <v>No Required Input</v>
      </c>
      <c r="F81" s="101"/>
      <c r="G81" s="95"/>
      <c r="H81" s="501"/>
      <c r="I81" s="502"/>
      <c r="J81" s="101"/>
      <c r="N81" s="83"/>
    </row>
    <row r="82" spans="1:14">
      <c r="A82" s="343" t="s">
        <v>138</v>
      </c>
      <c r="B82" s="419" t="s">
        <v>117</v>
      </c>
      <c r="C82" s="420">
        <v>13880</v>
      </c>
      <c r="D82" s="421"/>
      <c r="E82" s="391" t="str">
        <f t="shared" si="0"/>
        <v>No Required Input</v>
      </c>
      <c r="F82" s="101"/>
      <c r="G82" s="95"/>
    </row>
    <row r="83" spans="1:14">
      <c r="A83" s="323"/>
      <c r="B83" s="322"/>
      <c r="C83" s="83"/>
      <c r="E83" s="83"/>
      <c r="F83" s="83"/>
      <c r="G83" s="395"/>
    </row>
    <row r="84" spans="1:14">
      <c r="A84" s="535" t="s">
        <v>139</v>
      </c>
      <c r="B84" s="536"/>
      <c r="C84" s="93"/>
      <c r="E84" s="83"/>
      <c r="F84" s="83"/>
    </row>
    <row r="85" spans="1:14">
      <c r="A85" s="533" t="s">
        <v>140</v>
      </c>
      <c r="B85" s="534"/>
      <c r="C85" s="356"/>
      <c r="E85" s="83"/>
      <c r="F85" s="83"/>
    </row>
    <row r="86" spans="1:14">
      <c r="A86" s="396" t="s">
        <v>141</v>
      </c>
      <c r="B86" s="422">
        <v>4356.2</v>
      </c>
      <c r="C86" s="356"/>
      <c r="E86" s="83"/>
      <c r="F86" s="83"/>
      <c r="H86" s="95"/>
    </row>
    <row r="87" spans="1:14">
      <c r="A87" s="396" t="s">
        <v>142</v>
      </c>
      <c r="B87" s="422">
        <v>14076.72</v>
      </c>
      <c r="C87" s="356"/>
      <c r="E87" s="83"/>
      <c r="F87" s="83"/>
      <c r="H87" s="95"/>
    </row>
    <row r="88" spans="1:14">
      <c r="A88" s="396" t="s">
        <v>143</v>
      </c>
      <c r="B88" s="422">
        <v>3900</v>
      </c>
      <c r="C88" s="356"/>
      <c r="E88" s="83"/>
      <c r="F88" s="83"/>
      <c r="H88" s="95"/>
    </row>
    <row r="89" spans="1:14">
      <c r="A89" s="531" t="s">
        <v>144</v>
      </c>
      <c r="B89" s="532"/>
      <c r="C89" s="356"/>
      <c r="E89" s="83"/>
      <c r="F89" s="83"/>
      <c r="H89" s="395"/>
    </row>
    <row r="90" spans="1:14">
      <c r="A90" s="396" t="s">
        <v>145</v>
      </c>
      <c r="B90" s="422">
        <v>0</v>
      </c>
      <c r="C90" s="356"/>
      <c r="E90" s="83"/>
      <c r="F90" s="83"/>
    </row>
    <row r="91" spans="1:14">
      <c r="A91" s="396" t="s">
        <v>146</v>
      </c>
      <c r="B91" s="422">
        <v>0</v>
      </c>
      <c r="C91" s="356"/>
      <c r="E91" s="83"/>
      <c r="F91" s="83"/>
    </row>
    <row r="92" spans="1:14">
      <c r="A92" s="531" t="s">
        <v>147</v>
      </c>
      <c r="B92" s="532"/>
      <c r="C92" s="356"/>
      <c r="E92" s="83"/>
      <c r="F92" s="83"/>
    </row>
    <row r="93" spans="1:14">
      <c r="A93" s="396" t="s">
        <v>148</v>
      </c>
      <c r="B93" s="422">
        <v>20054.95</v>
      </c>
      <c r="C93" s="356"/>
      <c r="E93" s="83"/>
      <c r="F93" s="83"/>
    </row>
    <row r="94" spans="1:14">
      <c r="A94" s="396" t="s">
        <v>149</v>
      </c>
      <c r="B94" s="422">
        <v>6800.39</v>
      </c>
      <c r="C94" s="356"/>
      <c r="E94" s="83"/>
      <c r="F94" s="83"/>
    </row>
    <row r="95" spans="1:14">
      <c r="A95" s="531" t="s">
        <v>150</v>
      </c>
      <c r="B95" s="532"/>
      <c r="C95" s="356"/>
      <c r="E95" s="83"/>
      <c r="F95" s="83"/>
    </row>
    <row r="96" spans="1:14">
      <c r="A96" s="396" t="s">
        <v>151</v>
      </c>
      <c r="B96" s="422">
        <v>6780.11</v>
      </c>
      <c r="C96" s="356"/>
      <c r="E96" s="83"/>
      <c r="F96" s="83"/>
    </row>
    <row r="97" spans="1:6">
      <c r="A97" s="396" t="s">
        <v>152</v>
      </c>
      <c r="B97" s="422">
        <v>42272.86</v>
      </c>
      <c r="C97" s="356"/>
      <c r="E97" s="83"/>
      <c r="F97" s="83"/>
    </row>
    <row r="98" spans="1:6">
      <c r="A98" s="396" t="s">
        <v>153</v>
      </c>
      <c r="B98" s="422">
        <v>1968.66</v>
      </c>
      <c r="C98" s="356"/>
      <c r="E98" s="83"/>
      <c r="F98" s="83"/>
    </row>
    <row r="99" spans="1:6">
      <c r="A99" s="396" t="s">
        <v>154</v>
      </c>
      <c r="B99" s="422">
        <v>22515.16</v>
      </c>
      <c r="C99" s="356"/>
      <c r="E99" s="83"/>
      <c r="F99" s="83"/>
    </row>
    <row r="100" spans="1:6">
      <c r="A100" s="396" t="s">
        <v>155</v>
      </c>
      <c r="B100" s="422">
        <v>32745.95</v>
      </c>
      <c r="C100" s="356"/>
      <c r="E100" s="83"/>
      <c r="F100" s="83"/>
    </row>
    <row r="101" spans="1:6">
      <c r="A101" s="396" t="s">
        <v>156</v>
      </c>
      <c r="B101" s="422">
        <v>2608.33</v>
      </c>
      <c r="C101" s="356"/>
      <c r="E101" s="83"/>
      <c r="F101" s="83"/>
    </row>
    <row r="102" spans="1:6">
      <c r="A102" s="396" t="s">
        <v>157</v>
      </c>
      <c r="B102" s="422">
        <v>20859.419999999998</v>
      </c>
      <c r="C102" s="356"/>
      <c r="E102" s="83"/>
      <c r="F102" s="83"/>
    </row>
    <row r="103" spans="1:6">
      <c r="A103" s="396" t="s">
        <v>158</v>
      </c>
      <c r="B103" s="422">
        <v>13465</v>
      </c>
      <c r="C103" s="356"/>
      <c r="E103" s="83"/>
      <c r="F103" s="83"/>
    </row>
    <row r="104" spans="1:6">
      <c r="A104" s="396" t="s">
        <v>159</v>
      </c>
      <c r="B104" s="422">
        <v>35911.07</v>
      </c>
      <c r="C104" s="356"/>
      <c r="E104" s="83"/>
      <c r="F104" s="83"/>
    </row>
    <row r="105" spans="1:6">
      <c r="A105" s="396" t="s">
        <v>160</v>
      </c>
      <c r="B105" s="422">
        <v>0</v>
      </c>
      <c r="C105" s="356"/>
      <c r="E105" s="83"/>
      <c r="F105" s="83"/>
    </row>
    <row r="106" spans="1:6">
      <c r="A106" s="396" t="s">
        <v>161</v>
      </c>
      <c r="B106" s="422">
        <v>3042.9</v>
      </c>
      <c r="C106" s="356"/>
      <c r="E106" s="83"/>
      <c r="F106" s="83"/>
    </row>
    <row r="107" spans="1:6">
      <c r="A107" s="396" t="s">
        <v>162</v>
      </c>
      <c r="B107" s="422">
        <v>39469.879999999997</v>
      </c>
      <c r="C107" s="356"/>
      <c r="E107" s="83"/>
      <c r="F107" s="83"/>
    </row>
    <row r="108" spans="1:6">
      <c r="A108" s="396" t="s">
        <v>163</v>
      </c>
      <c r="B108" s="422">
        <v>7691.54</v>
      </c>
      <c r="C108" s="356"/>
      <c r="E108" s="83"/>
      <c r="F108" s="83"/>
    </row>
    <row r="109" spans="1:6">
      <c r="A109" s="396" t="s">
        <v>164</v>
      </c>
      <c r="B109" s="422">
        <v>5808.12</v>
      </c>
      <c r="C109" s="356"/>
      <c r="E109" s="83"/>
      <c r="F109" s="83"/>
    </row>
    <row r="110" spans="1:6">
      <c r="A110" s="396" t="s">
        <v>165</v>
      </c>
      <c r="B110" s="422">
        <v>8000</v>
      </c>
      <c r="C110" s="356"/>
      <c r="E110" s="83"/>
      <c r="F110" s="83"/>
    </row>
    <row r="111" spans="1:6">
      <c r="A111" s="396" t="s">
        <v>166</v>
      </c>
      <c r="B111" s="422">
        <v>18815.97</v>
      </c>
      <c r="C111" s="356"/>
      <c r="E111" s="83"/>
      <c r="F111" s="83"/>
    </row>
    <row r="112" spans="1:6">
      <c r="A112" s="396" t="s">
        <v>167</v>
      </c>
      <c r="B112" s="422">
        <v>1380.01</v>
      </c>
      <c r="C112" s="356"/>
      <c r="E112" s="83"/>
      <c r="F112" s="83"/>
    </row>
    <row r="113" spans="1:6">
      <c r="A113" s="531" t="s">
        <v>168</v>
      </c>
      <c r="B113" s="532"/>
      <c r="C113" s="356"/>
      <c r="E113" s="83"/>
      <c r="F113" s="83"/>
    </row>
    <row r="114" spans="1:6">
      <c r="A114" s="396" t="s">
        <v>169</v>
      </c>
      <c r="B114" s="422">
        <v>0</v>
      </c>
      <c r="C114" s="356"/>
      <c r="E114" s="83"/>
      <c r="F114" s="83"/>
    </row>
    <row r="115" spans="1:6">
      <c r="A115" s="396" t="s">
        <v>170</v>
      </c>
      <c r="B115" s="422">
        <v>0</v>
      </c>
      <c r="C115" s="356"/>
      <c r="E115" s="83"/>
      <c r="F115" s="83"/>
    </row>
    <row r="116" spans="1:6">
      <c r="A116" s="396" t="s">
        <v>171</v>
      </c>
      <c r="B116" s="422">
        <v>25710.15</v>
      </c>
      <c r="C116" s="356"/>
      <c r="E116" s="83"/>
      <c r="F116" s="83"/>
    </row>
    <row r="117" spans="1:6">
      <c r="A117" s="396" t="s">
        <v>172</v>
      </c>
      <c r="B117" s="422">
        <v>3460</v>
      </c>
      <c r="C117" s="356"/>
      <c r="E117" s="83"/>
      <c r="F117" s="83"/>
    </row>
    <row r="118" spans="1:6">
      <c r="A118" s="396" t="s">
        <v>168</v>
      </c>
      <c r="B118" s="422">
        <v>0</v>
      </c>
      <c r="C118" s="356"/>
      <c r="E118" s="83"/>
      <c r="F118" s="83"/>
    </row>
    <row r="119" spans="1:6">
      <c r="A119" s="396" t="s">
        <v>173</v>
      </c>
      <c r="B119" s="422">
        <v>3185.6</v>
      </c>
      <c r="C119" s="356"/>
      <c r="E119" s="83"/>
      <c r="F119" s="83"/>
    </row>
    <row r="120" spans="1:6">
      <c r="A120" s="396" t="s">
        <v>174</v>
      </c>
      <c r="B120" s="422">
        <v>54241.2</v>
      </c>
      <c r="C120" s="356"/>
      <c r="E120" s="83"/>
      <c r="F120" s="83"/>
    </row>
    <row r="121" spans="1:6">
      <c r="A121" s="396" t="s">
        <v>175</v>
      </c>
      <c r="B121" s="422">
        <v>837.5</v>
      </c>
      <c r="C121" s="356"/>
      <c r="E121" s="83"/>
      <c r="F121" s="83"/>
    </row>
    <row r="122" spans="1:6">
      <c r="A122" s="396" t="s">
        <v>176</v>
      </c>
      <c r="B122" s="422">
        <v>1318.33</v>
      </c>
      <c r="C122" s="356"/>
      <c r="E122" s="83"/>
      <c r="F122" s="83"/>
    </row>
    <row r="123" spans="1:6">
      <c r="A123" s="396" t="s">
        <v>177</v>
      </c>
      <c r="B123" s="422">
        <v>0</v>
      </c>
      <c r="C123" s="356"/>
      <c r="E123" s="83"/>
      <c r="F123" s="83"/>
    </row>
    <row r="124" spans="1:6">
      <c r="A124" s="531" t="s">
        <v>178</v>
      </c>
      <c r="B124" s="532"/>
      <c r="C124" s="356"/>
      <c r="E124" s="83"/>
      <c r="F124" s="83"/>
    </row>
    <row r="125" spans="1:6">
      <c r="A125" s="396" t="s">
        <v>179</v>
      </c>
      <c r="B125" s="422">
        <v>50400</v>
      </c>
      <c r="C125" s="356"/>
      <c r="E125" s="83"/>
      <c r="F125" s="83"/>
    </row>
    <row r="126" spans="1:6">
      <c r="A126" s="396" t="s">
        <v>180</v>
      </c>
      <c r="B126" s="422">
        <v>258176.29</v>
      </c>
      <c r="C126" s="356"/>
      <c r="E126" s="83"/>
      <c r="F126" s="83"/>
    </row>
    <row r="127" spans="1:6">
      <c r="A127" s="396" t="s">
        <v>181</v>
      </c>
      <c r="B127" s="422">
        <v>14948.55</v>
      </c>
      <c r="C127" s="356"/>
      <c r="E127" s="83"/>
      <c r="F127" s="83"/>
    </row>
    <row r="128" spans="1:6">
      <c r="A128" s="396" t="s">
        <v>182</v>
      </c>
      <c r="B128" s="422">
        <v>4878.59</v>
      </c>
      <c r="C128" s="356"/>
      <c r="E128" s="83"/>
      <c r="F128" s="83"/>
    </row>
    <row r="129" spans="1:6" ht="18.75" customHeight="1">
      <c r="A129" s="396" t="s">
        <v>183</v>
      </c>
      <c r="B129" s="422">
        <v>3473.64</v>
      </c>
      <c r="C129" s="356"/>
      <c r="E129" s="83"/>
      <c r="F129" s="83"/>
    </row>
    <row r="130" spans="1:6">
      <c r="A130" s="396" t="s">
        <v>184</v>
      </c>
      <c r="B130" s="422">
        <v>19025.169999999998</v>
      </c>
      <c r="C130" s="356"/>
      <c r="E130" s="83"/>
      <c r="F130" s="83"/>
    </row>
    <row r="131" spans="1:6">
      <c r="A131" s="396" t="s">
        <v>185</v>
      </c>
      <c r="B131" s="422">
        <v>1012.77</v>
      </c>
      <c r="C131" s="356"/>
      <c r="E131" s="83"/>
      <c r="F131" s="83"/>
    </row>
    <row r="132" spans="1:6">
      <c r="A132" s="396" t="s">
        <v>186</v>
      </c>
      <c r="B132" s="422">
        <v>8205.09</v>
      </c>
      <c r="C132" s="356"/>
      <c r="E132" s="83"/>
      <c r="F132" s="83"/>
    </row>
    <row r="133" spans="1:6">
      <c r="A133" s="396" t="s">
        <v>187</v>
      </c>
      <c r="B133" s="422">
        <v>2036.34</v>
      </c>
      <c r="C133" s="356"/>
      <c r="E133" s="83"/>
      <c r="F133" s="83"/>
    </row>
    <row r="134" spans="1:6">
      <c r="A134" s="359" t="s">
        <v>188</v>
      </c>
      <c r="B134" s="422">
        <v>9000</v>
      </c>
      <c r="C134" s="356"/>
      <c r="E134" s="83"/>
      <c r="F134" s="83"/>
    </row>
    <row r="135" spans="1:6">
      <c r="A135" s="359" t="s">
        <v>189</v>
      </c>
      <c r="B135" s="422">
        <v>0</v>
      </c>
      <c r="C135" s="356"/>
      <c r="E135" s="83"/>
      <c r="F135" s="83"/>
    </row>
    <row r="136" spans="1:6">
      <c r="A136" s="359" t="s">
        <v>190</v>
      </c>
      <c r="B136" s="422">
        <v>0</v>
      </c>
      <c r="C136" s="356"/>
      <c r="E136" s="83"/>
      <c r="F136" s="83"/>
    </row>
    <row r="137" spans="1:6">
      <c r="A137" s="359" t="s">
        <v>191</v>
      </c>
      <c r="B137" s="422">
        <v>0</v>
      </c>
      <c r="C137" s="356"/>
      <c r="E137" s="83"/>
      <c r="F137" s="83"/>
    </row>
    <row r="138" spans="1:6">
      <c r="A138" s="359" t="s">
        <v>192</v>
      </c>
      <c r="B138" s="422">
        <v>0</v>
      </c>
      <c r="C138" s="356"/>
      <c r="E138" s="83"/>
      <c r="F138" s="83"/>
    </row>
    <row r="139" spans="1:6">
      <c r="A139" s="359" t="s">
        <v>193</v>
      </c>
      <c r="B139" s="422">
        <v>0</v>
      </c>
      <c r="C139" s="356"/>
      <c r="E139" s="83"/>
      <c r="F139" s="83"/>
    </row>
    <row r="140" spans="1:6">
      <c r="A140" s="359" t="s">
        <v>194</v>
      </c>
      <c r="B140" s="422">
        <v>0</v>
      </c>
      <c r="C140" s="356"/>
      <c r="E140" s="83"/>
      <c r="F140" s="83"/>
    </row>
    <row r="141" spans="1:6">
      <c r="A141" s="359" t="s">
        <v>195</v>
      </c>
      <c r="B141" s="422">
        <v>0</v>
      </c>
      <c r="C141" s="356"/>
      <c r="E141" s="83"/>
      <c r="F141" s="83"/>
    </row>
    <row r="142" spans="1:6">
      <c r="A142" s="359" t="s">
        <v>196</v>
      </c>
      <c r="B142" s="422">
        <v>0</v>
      </c>
      <c r="C142" s="356"/>
      <c r="E142" s="83"/>
      <c r="F142" s="83"/>
    </row>
    <row r="143" spans="1:6">
      <c r="A143" s="359" t="s">
        <v>197</v>
      </c>
      <c r="B143" s="422">
        <v>0</v>
      </c>
      <c r="C143" s="356"/>
      <c r="E143" s="83"/>
      <c r="F143" s="83"/>
    </row>
    <row r="144" spans="1:6">
      <c r="A144" s="359" t="s">
        <v>198</v>
      </c>
      <c r="B144" s="422">
        <v>0</v>
      </c>
      <c r="C144" s="356"/>
      <c r="E144" s="83"/>
      <c r="F144" s="83"/>
    </row>
    <row r="145" spans="1:13">
      <c r="A145" s="367" t="s">
        <v>199</v>
      </c>
      <c r="B145" s="423">
        <v>0</v>
      </c>
      <c r="C145" s="356"/>
      <c r="E145" s="83"/>
      <c r="F145" s="83"/>
    </row>
    <row r="146" spans="1:13">
      <c r="A146" s="83"/>
      <c r="B146" s="83"/>
      <c r="C146" s="83"/>
      <c r="E146" s="83"/>
      <c r="F146" s="83"/>
    </row>
    <row r="147" spans="1:13">
      <c r="A147" s="397" t="s">
        <v>200</v>
      </c>
      <c r="B147" s="398"/>
      <c r="C147" s="83"/>
      <c r="E147" s="83"/>
      <c r="F147" s="83"/>
    </row>
    <row r="148" spans="1:13">
      <c r="A148" s="91"/>
      <c r="B148" s="319"/>
      <c r="C148" s="83"/>
      <c r="E148" s="83"/>
      <c r="F148" s="83"/>
    </row>
    <row r="149" spans="1:13">
      <c r="A149" s="380" t="s">
        <v>201</v>
      </c>
      <c r="B149" s="424">
        <v>8.5000000000000006E-2</v>
      </c>
      <c r="C149" s="83"/>
      <c r="E149" s="83"/>
      <c r="F149" s="83"/>
    </row>
    <row r="150" spans="1:13">
      <c r="A150" s="380" t="s">
        <v>202</v>
      </c>
      <c r="B150" s="425">
        <v>20</v>
      </c>
      <c r="C150" s="83"/>
      <c r="E150" s="83"/>
      <c r="F150" s="83"/>
    </row>
    <row r="151" spans="1:13">
      <c r="A151" s="399" t="s">
        <v>203</v>
      </c>
      <c r="B151" s="405">
        <v>0.2</v>
      </c>
      <c r="C151" s="83"/>
      <c r="E151" s="83"/>
      <c r="F151" s="83"/>
    </row>
    <row r="152" spans="1:13">
      <c r="A152" s="400" t="s">
        <v>204</v>
      </c>
      <c r="B152" s="426">
        <v>0.8</v>
      </c>
      <c r="C152" s="83"/>
      <c r="E152" s="83"/>
      <c r="F152" s="83"/>
    </row>
    <row r="153" spans="1:13">
      <c r="A153" s="83"/>
      <c r="B153" s="83"/>
      <c r="C153" s="83"/>
      <c r="E153" s="83"/>
      <c r="F153" s="83"/>
    </row>
    <row r="154" spans="1:13">
      <c r="A154" s="83"/>
      <c r="B154" s="83"/>
      <c r="C154" s="83"/>
      <c r="E154" s="83"/>
      <c r="F154" s="83"/>
    </row>
    <row r="155" spans="1:13">
      <c r="A155" s="83"/>
      <c r="B155" s="83"/>
      <c r="C155" s="83"/>
      <c r="E155" s="83"/>
      <c r="F155" s="83"/>
    </row>
    <row r="156" spans="1:13">
      <c r="A156" s="83"/>
      <c r="B156" s="83"/>
      <c r="C156" s="83"/>
      <c r="E156" s="83"/>
      <c r="F156" s="83"/>
    </row>
    <row r="157" spans="1:13" ht="23.25" customHeight="1">
      <c r="A157" s="499" t="s">
        <v>20</v>
      </c>
      <c r="B157" s="499"/>
      <c r="C157" s="499"/>
      <c r="D157" s="499"/>
      <c r="E157" s="499"/>
      <c r="F157" s="499"/>
      <c r="G157" s="499"/>
      <c r="H157" s="499"/>
      <c r="L157" s="64"/>
      <c r="M157" s="64"/>
    </row>
    <row r="158" spans="1:13">
      <c r="A158" s="315"/>
      <c r="B158" s="90"/>
      <c r="C158" s="90"/>
      <c r="D158" s="65"/>
      <c r="E158" s="65"/>
      <c r="F158" s="401"/>
      <c r="G158" s="401"/>
      <c r="H158" s="401"/>
      <c r="L158" s="64"/>
      <c r="M158" s="64"/>
    </row>
    <row r="159" spans="1:13">
      <c r="A159" s="401"/>
      <c r="B159" s="65"/>
      <c r="C159" s="65"/>
      <c r="D159" s="65"/>
      <c r="E159" s="65"/>
      <c r="F159" s="401"/>
      <c r="G159" s="401"/>
      <c r="H159" s="401"/>
      <c r="L159" s="64"/>
      <c r="M159" s="64"/>
    </row>
    <row r="160" spans="1:13">
      <c r="A160" s="315"/>
      <c r="B160" s="90"/>
      <c r="C160" s="90"/>
      <c r="D160" s="65"/>
      <c r="E160" s="65"/>
      <c r="F160" s="401"/>
      <c r="G160" s="401"/>
      <c r="H160" s="401"/>
      <c r="L160" s="64"/>
      <c r="M160" s="64"/>
    </row>
    <row r="161" spans="1:13" ht="23.45">
      <c r="A161" s="499" t="s">
        <v>205</v>
      </c>
      <c r="B161" s="499"/>
      <c r="C161" s="499"/>
      <c r="D161" s="499"/>
      <c r="E161" s="499"/>
      <c r="F161" s="499"/>
      <c r="G161" s="499"/>
      <c r="H161" s="499"/>
      <c r="L161" s="64"/>
      <c r="M161" s="64"/>
    </row>
    <row r="162" spans="1:13">
      <c r="A162" s="401"/>
      <c r="B162" s="65"/>
      <c r="C162" s="65"/>
      <c r="D162" s="65"/>
      <c r="E162" s="65"/>
      <c r="F162" s="401"/>
      <c r="G162" s="401"/>
      <c r="H162" s="401"/>
      <c r="L162" s="64"/>
      <c r="M162" s="64"/>
    </row>
    <row r="163" spans="1:13">
      <c r="A163" s="401"/>
      <c r="B163" s="65"/>
      <c r="C163" s="65"/>
      <c r="D163" s="65"/>
      <c r="E163" s="65"/>
      <c r="F163" s="401"/>
      <c r="G163" s="401"/>
      <c r="H163" s="401"/>
      <c r="L163" s="64"/>
      <c r="M163" s="64"/>
    </row>
    <row r="164" spans="1:13">
      <c r="A164" s="401"/>
      <c r="B164" s="65"/>
      <c r="C164" s="65"/>
      <c r="D164" s="65"/>
      <c r="E164" s="65"/>
      <c r="F164" s="401"/>
      <c r="G164" s="401"/>
      <c r="H164" s="401"/>
      <c r="L164" s="64"/>
      <c r="M164" s="64"/>
    </row>
    <row r="165" spans="1:13">
      <c r="A165" s="83"/>
      <c r="B165" s="83"/>
      <c r="C165" s="83"/>
      <c r="E165" s="83"/>
      <c r="F165" s="83"/>
      <c r="L165" s="64"/>
      <c r="M165" s="64"/>
    </row>
    <row r="166" spans="1:13" ht="23.45">
      <c r="A166" s="500" t="s">
        <v>206</v>
      </c>
      <c r="B166" s="500"/>
      <c r="C166" s="500"/>
      <c r="D166" s="500"/>
      <c r="E166" s="500"/>
      <c r="F166" s="500"/>
      <c r="G166" s="500"/>
      <c r="H166" s="500"/>
      <c r="L166" s="64"/>
      <c r="M166" s="64"/>
    </row>
    <row r="167" spans="1:13">
      <c r="A167" s="402"/>
      <c r="B167" s="82"/>
      <c r="C167" s="82"/>
      <c r="D167" s="82"/>
      <c r="E167" s="82"/>
      <c r="F167" s="402"/>
      <c r="G167" s="402"/>
      <c r="H167" s="402"/>
      <c r="L167" s="64"/>
      <c r="M167" s="64"/>
    </row>
    <row r="168" spans="1:13">
      <c r="A168" s="402"/>
      <c r="B168" s="82"/>
      <c r="C168" s="82"/>
      <c r="D168" s="82"/>
      <c r="E168" s="82"/>
      <c r="F168" s="402"/>
      <c r="G168" s="402"/>
      <c r="H168" s="402"/>
      <c r="L168" s="64"/>
      <c r="M168" s="64"/>
    </row>
    <row r="169" spans="1:13">
      <c r="A169" s="402"/>
      <c r="B169" s="82"/>
      <c r="C169" s="82"/>
      <c r="D169" s="82"/>
      <c r="E169" s="82"/>
      <c r="F169" s="402"/>
      <c r="G169" s="402"/>
      <c r="H169" s="402"/>
      <c r="L169" s="64"/>
      <c r="M169" s="64"/>
    </row>
    <row r="170" spans="1:13">
      <c r="A170" s="83"/>
      <c r="B170" s="83"/>
      <c r="C170" s="83"/>
      <c r="E170" s="83"/>
      <c r="F170" s="83"/>
    </row>
    <row r="171" spans="1:13">
      <c r="A171" s="83"/>
      <c r="B171" s="83"/>
      <c r="C171" s="83"/>
      <c r="E171" s="83"/>
      <c r="F171" s="83"/>
    </row>
    <row r="172" spans="1:13">
      <c r="A172" s="83"/>
      <c r="B172" s="83"/>
      <c r="C172" s="83"/>
      <c r="E172" s="83"/>
      <c r="F172" s="83"/>
    </row>
    <row r="173" spans="1:13">
      <c r="A173" s="83"/>
      <c r="B173" s="83"/>
      <c r="C173" s="83"/>
      <c r="E173" s="83"/>
      <c r="F173" s="83"/>
    </row>
    <row r="174" spans="1:13">
      <c r="A174" s="83"/>
      <c r="B174" s="83"/>
      <c r="C174" s="83"/>
      <c r="E174" s="83"/>
      <c r="F174" s="83"/>
    </row>
    <row r="175" spans="1:13">
      <c r="A175" s="83"/>
      <c r="B175" s="83"/>
      <c r="C175" s="83"/>
      <c r="E175" s="83"/>
      <c r="F175" s="83"/>
    </row>
    <row r="176" spans="1:13">
      <c r="A176" s="83"/>
      <c r="B176" s="83"/>
      <c r="C176" s="83"/>
      <c r="E176" s="83"/>
      <c r="F176" s="83"/>
    </row>
    <row r="177" spans="1:6">
      <c r="A177" s="83"/>
      <c r="B177" s="83"/>
      <c r="C177" s="83"/>
      <c r="E177" s="83"/>
      <c r="F177" s="83"/>
    </row>
    <row r="178" spans="1:6">
      <c r="A178" s="83"/>
      <c r="B178" s="83"/>
      <c r="C178" s="83"/>
      <c r="E178" s="83"/>
      <c r="F178" s="83"/>
    </row>
    <row r="179" spans="1:6">
      <c r="A179" s="83"/>
      <c r="B179" s="83"/>
      <c r="C179" s="83"/>
      <c r="E179" s="83"/>
      <c r="F179" s="83"/>
    </row>
    <row r="180" spans="1:6">
      <c r="A180" s="83"/>
      <c r="B180" s="83"/>
      <c r="C180" s="83"/>
      <c r="E180" s="83"/>
      <c r="F180" s="83"/>
    </row>
    <row r="181" spans="1:6">
      <c r="A181" s="83"/>
      <c r="B181" s="83"/>
      <c r="C181" s="83"/>
      <c r="E181" s="83"/>
      <c r="F181" s="83"/>
    </row>
    <row r="182" spans="1:6">
      <c r="A182" s="83"/>
      <c r="B182" s="83"/>
      <c r="C182" s="83"/>
      <c r="E182" s="83"/>
      <c r="F182" s="83"/>
    </row>
    <row r="183" spans="1:6">
      <c r="A183" s="83"/>
      <c r="B183" s="83"/>
      <c r="C183" s="83"/>
      <c r="E183" s="83"/>
      <c r="F183" s="83"/>
    </row>
    <row r="184" spans="1:6">
      <c r="A184" s="83"/>
      <c r="B184" s="83"/>
      <c r="C184" s="83"/>
      <c r="E184" s="83"/>
      <c r="F184" s="83"/>
    </row>
    <row r="185" spans="1:6">
      <c r="A185" s="83"/>
      <c r="B185" s="83"/>
      <c r="C185" s="83"/>
      <c r="E185" s="83"/>
      <c r="F185" s="83"/>
    </row>
    <row r="186" spans="1:6">
      <c r="A186" s="83"/>
      <c r="B186" s="83"/>
      <c r="C186" s="83"/>
      <c r="E186" s="83"/>
      <c r="F186" s="83"/>
    </row>
    <row r="187" spans="1:6">
      <c r="A187" s="83"/>
      <c r="B187" s="83"/>
      <c r="C187" s="83"/>
      <c r="E187" s="83"/>
      <c r="F187" s="83"/>
    </row>
    <row r="188" spans="1:6">
      <c r="A188" s="83"/>
      <c r="B188" s="83"/>
      <c r="C188" s="83"/>
      <c r="E188" s="83"/>
      <c r="F188" s="83"/>
    </row>
    <row r="189" spans="1:6">
      <c r="A189" s="83"/>
      <c r="B189" s="83"/>
      <c r="C189" s="83"/>
      <c r="E189" s="83"/>
      <c r="F189" s="83"/>
    </row>
    <row r="190" spans="1:6">
      <c r="A190" s="83"/>
      <c r="B190" s="83"/>
      <c r="C190" s="83"/>
      <c r="E190" s="83"/>
      <c r="F190" s="83"/>
    </row>
    <row r="191" spans="1:6">
      <c r="A191" s="83"/>
      <c r="B191" s="83"/>
      <c r="C191" s="83"/>
      <c r="E191" s="83"/>
      <c r="F191" s="83"/>
    </row>
    <row r="192" spans="1:6">
      <c r="A192" s="83"/>
      <c r="B192" s="83"/>
      <c r="C192" s="83"/>
      <c r="E192" s="83"/>
      <c r="F192" s="83"/>
    </row>
    <row r="193" spans="1:6">
      <c r="A193" s="83"/>
      <c r="B193" s="83"/>
      <c r="C193" s="83"/>
      <c r="E193" s="83"/>
      <c r="F193" s="83"/>
    </row>
    <row r="194" spans="1:6">
      <c r="A194" s="83"/>
      <c r="B194" s="83"/>
      <c r="C194" s="83"/>
      <c r="E194" s="83"/>
      <c r="F194" s="83"/>
    </row>
    <row r="195" spans="1:6">
      <c r="A195" s="83"/>
      <c r="B195" s="83"/>
      <c r="C195" s="83"/>
      <c r="E195" s="83"/>
      <c r="F195" s="83"/>
    </row>
    <row r="196" spans="1:6">
      <c r="A196" s="83"/>
      <c r="B196" s="83"/>
      <c r="C196" s="83"/>
      <c r="E196" s="83"/>
      <c r="F196" s="83"/>
    </row>
    <row r="197" spans="1:6">
      <c r="A197" s="83"/>
      <c r="B197" s="83"/>
      <c r="C197" s="83"/>
      <c r="E197" s="83"/>
      <c r="F197" s="83"/>
    </row>
    <row r="198" spans="1:6">
      <c r="A198" s="83"/>
      <c r="B198" s="83"/>
      <c r="C198" s="83"/>
      <c r="E198" s="83"/>
      <c r="F198" s="83"/>
    </row>
    <row r="199" spans="1:6">
      <c r="A199" s="83"/>
      <c r="B199" s="83"/>
      <c r="C199" s="83"/>
      <c r="E199" s="83"/>
      <c r="F199" s="83"/>
    </row>
    <row r="200" spans="1:6">
      <c r="A200" s="83"/>
      <c r="B200" s="83"/>
      <c r="C200" s="83"/>
      <c r="E200" s="83"/>
      <c r="F200" s="83"/>
    </row>
    <row r="201" spans="1:6">
      <c r="A201" s="83"/>
      <c r="B201" s="83"/>
      <c r="C201" s="83"/>
      <c r="E201" s="83"/>
      <c r="F201" s="83"/>
    </row>
    <row r="202" spans="1:6">
      <c r="A202" s="83"/>
      <c r="B202" s="83"/>
      <c r="C202" s="83"/>
      <c r="E202" s="83"/>
      <c r="F202" s="83"/>
    </row>
    <row r="203" spans="1:6">
      <c r="A203" s="83"/>
      <c r="B203" s="83"/>
      <c r="C203" s="83"/>
      <c r="E203" s="83"/>
      <c r="F203" s="83"/>
    </row>
    <row r="204" spans="1:6">
      <c r="A204" s="83"/>
      <c r="B204" s="83"/>
      <c r="C204" s="83"/>
      <c r="E204" s="83"/>
      <c r="F204" s="83"/>
    </row>
    <row r="205" spans="1:6">
      <c r="A205" s="83"/>
      <c r="B205" s="83"/>
      <c r="C205" s="83"/>
      <c r="E205" s="83"/>
      <c r="F205" s="83"/>
    </row>
    <row r="206" spans="1:6">
      <c r="A206" s="83"/>
      <c r="B206" s="83"/>
      <c r="C206" s="83"/>
      <c r="E206" s="83"/>
      <c r="F206" s="83"/>
    </row>
    <row r="207" spans="1:6">
      <c r="A207" s="83"/>
      <c r="B207" s="83"/>
      <c r="C207" s="83"/>
      <c r="E207" s="83"/>
      <c r="F207" s="83"/>
    </row>
    <row r="208" spans="1:6">
      <c r="A208" s="83"/>
      <c r="B208" s="83"/>
      <c r="C208" s="83"/>
      <c r="E208" s="83"/>
      <c r="F208" s="83"/>
    </row>
    <row r="209" spans="1:6">
      <c r="A209" s="83"/>
      <c r="B209" s="83"/>
      <c r="C209" s="83"/>
      <c r="E209" s="83"/>
      <c r="F209" s="83"/>
    </row>
    <row r="210" spans="1:6">
      <c r="A210" s="83"/>
      <c r="B210" s="83"/>
      <c r="C210" s="83"/>
      <c r="E210" s="83"/>
      <c r="F210" s="83"/>
    </row>
    <row r="211" spans="1:6">
      <c r="A211" s="83"/>
      <c r="B211" s="83"/>
      <c r="C211" s="83"/>
      <c r="E211" s="83"/>
      <c r="F211" s="83"/>
    </row>
    <row r="212" spans="1:6">
      <c r="A212" s="83"/>
      <c r="B212" s="83"/>
      <c r="C212" s="83"/>
      <c r="E212" s="83"/>
      <c r="F212" s="83"/>
    </row>
    <row r="213" spans="1:6">
      <c r="A213" s="83"/>
      <c r="B213" s="83"/>
      <c r="C213" s="83"/>
      <c r="E213" s="83"/>
      <c r="F213" s="83"/>
    </row>
    <row r="214" spans="1:6">
      <c r="A214" s="83"/>
      <c r="B214" s="83"/>
      <c r="C214" s="83"/>
      <c r="E214" s="83"/>
      <c r="F214" s="83"/>
    </row>
    <row r="215" spans="1:6">
      <c r="A215" s="83"/>
      <c r="B215" s="83"/>
      <c r="C215" s="83"/>
      <c r="E215" s="83"/>
      <c r="F215" s="83"/>
    </row>
    <row r="216" spans="1:6">
      <c r="A216" s="83"/>
      <c r="B216" s="83"/>
      <c r="C216" s="83"/>
      <c r="E216" s="83"/>
      <c r="F216" s="83"/>
    </row>
    <row r="217" spans="1:6">
      <c r="A217" s="83"/>
      <c r="B217" s="83"/>
      <c r="C217" s="83"/>
      <c r="E217" s="83"/>
      <c r="F217" s="83"/>
    </row>
    <row r="218" spans="1:6">
      <c r="A218" s="83"/>
      <c r="B218" s="83"/>
      <c r="C218" s="83"/>
      <c r="E218" s="83"/>
      <c r="F218" s="83"/>
    </row>
    <row r="219" spans="1:6">
      <c r="A219" s="83"/>
      <c r="B219" s="83"/>
      <c r="C219" s="83"/>
      <c r="E219" s="83"/>
      <c r="F219" s="83"/>
    </row>
    <row r="220" spans="1:6">
      <c r="A220" s="83"/>
      <c r="B220" s="83"/>
      <c r="C220" s="83"/>
      <c r="E220" s="83"/>
      <c r="F220" s="83"/>
    </row>
    <row r="221" spans="1:6">
      <c r="A221" s="83"/>
      <c r="B221" s="83"/>
      <c r="C221" s="83"/>
      <c r="E221" s="83"/>
      <c r="F221" s="83"/>
    </row>
    <row r="222" spans="1:6">
      <c r="A222" s="83"/>
      <c r="B222" s="83"/>
      <c r="C222" s="83"/>
      <c r="E222" s="83"/>
      <c r="F222" s="83"/>
    </row>
    <row r="223" spans="1:6">
      <c r="A223" s="83"/>
      <c r="B223" s="83"/>
      <c r="C223" s="83"/>
      <c r="E223" s="83"/>
      <c r="F223" s="83"/>
    </row>
    <row r="224" spans="1:6">
      <c r="A224" s="83"/>
      <c r="B224" s="83"/>
      <c r="C224" s="83"/>
      <c r="E224" s="83"/>
      <c r="F224" s="83"/>
    </row>
    <row r="225" spans="1:6">
      <c r="A225" s="83"/>
      <c r="B225" s="83"/>
      <c r="C225" s="83"/>
      <c r="E225" s="83"/>
      <c r="F225" s="83"/>
    </row>
    <row r="226" spans="1:6">
      <c r="A226" s="83"/>
      <c r="B226" s="83"/>
      <c r="C226" s="83"/>
      <c r="E226" s="83"/>
      <c r="F226" s="83"/>
    </row>
    <row r="227" spans="1:6">
      <c r="A227" s="83"/>
      <c r="B227" s="83"/>
      <c r="C227" s="83"/>
      <c r="E227" s="83"/>
      <c r="F227" s="83"/>
    </row>
    <row r="228" spans="1:6">
      <c r="A228" s="83"/>
      <c r="B228" s="83"/>
      <c r="C228" s="83"/>
      <c r="E228" s="83"/>
      <c r="F228" s="83"/>
    </row>
    <row r="229" spans="1:6">
      <c r="A229" s="83"/>
      <c r="B229" s="83"/>
      <c r="C229" s="83"/>
      <c r="E229" s="83"/>
      <c r="F229" s="83"/>
    </row>
    <row r="230" spans="1:6">
      <c r="A230" s="83"/>
      <c r="B230" s="83"/>
      <c r="C230" s="83"/>
      <c r="E230" s="83"/>
      <c r="F230" s="83"/>
    </row>
    <row r="231" spans="1:6">
      <c r="A231" s="83"/>
      <c r="B231" s="83"/>
      <c r="C231" s="83"/>
      <c r="E231" s="83"/>
      <c r="F231" s="83"/>
    </row>
    <row r="232" spans="1:6">
      <c r="A232" s="83"/>
      <c r="B232" s="83"/>
      <c r="C232" s="83"/>
      <c r="E232" s="83"/>
      <c r="F232" s="83"/>
    </row>
    <row r="233" spans="1:6">
      <c r="A233" s="83"/>
      <c r="B233" s="83"/>
      <c r="C233" s="83"/>
      <c r="E233" s="83"/>
      <c r="F233" s="83"/>
    </row>
    <row r="234" spans="1:6">
      <c r="A234" s="83"/>
      <c r="B234" s="83"/>
      <c r="C234" s="83"/>
      <c r="E234" s="83"/>
      <c r="F234" s="83"/>
    </row>
    <row r="235" spans="1:6">
      <c r="A235" s="83"/>
      <c r="B235" s="83"/>
      <c r="C235" s="83"/>
      <c r="E235" s="83"/>
      <c r="F235" s="83"/>
    </row>
    <row r="236" spans="1:6">
      <c r="A236" s="83"/>
      <c r="B236" s="83"/>
      <c r="C236" s="83"/>
      <c r="E236" s="83"/>
      <c r="F236" s="83"/>
    </row>
    <row r="237" spans="1:6">
      <c r="A237" s="83"/>
      <c r="B237" s="83"/>
      <c r="C237" s="83"/>
      <c r="E237" s="83"/>
      <c r="F237" s="83"/>
    </row>
    <row r="238" spans="1:6">
      <c r="A238" s="83"/>
      <c r="B238" s="83"/>
      <c r="C238" s="83"/>
      <c r="E238" s="83"/>
      <c r="F238" s="83"/>
    </row>
    <row r="239" spans="1:6">
      <c r="A239" s="83"/>
      <c r="B239" s="83"/>
      <c r="C239" s="83"/>
      <c r="E239" s="83"/>
      <c r="F239" s="83"/>
    </row>
    <row r="240" spans="1:6">
      <c r="A240" s="83"/>
      <c r="B240" s="83"/>
      <c r="C240" s="83"/>
      <c r="E240" s="83"/>
      <c r="F240" s="83"/>
    </row>
    <row r="241" spans="1:6">
      <c r="A241" s="83"/>
      <c r="B241" s="83"/>
      <c r="C241" s="83"/>
      <c r="E241" s="83"/>
      <c r="F241" s="83"/>
    </row>
    <row r="242" spans="1:6">
      <c r="A242" s="83"/>
      <c r="B242" s="83"/>
      <c r="C242" s="83"/>
      <c r="E242" s="83"/>
      <c r="F242" s="83"/>
    </row>
    <row r="243" spans="1:6">
      <c r="A243" s="83"/>
      <c r="B243" s="83"/>
      <c r="C243" s="83"/>
      <c r="E243" s="83"/>
      <c r="F243" s="83"/>
    </row>
    <row r="244" spans="1:6">
      <c r="A244" s="83"/>
      <c r="B244" s="83"/>
      <c r="C244" s="83"/>
      <c r="E244" s="83"/>
      <c r="F244" s="83"/>
    </row>
    <row r="245" spans="1:6">
      <c r="A245" s="83"/>
      <c r="B245" s="83"/>
      <c r="C245" s="83"/>
      <c r="E245" s="83"/>
      <c r="F245" s="83"/>
    </row>
    <row r="246" spans="1:6">
      <c r="A246" s="83"/>
      <c r="B246" s="83"/>
      <c r="C246" s="83"/>
      <c r="E246" s="83"/>
      <c r="F246" s="83"/>
    </row>
    <row r="247" spans="1:6">
      <c r="A247" s="83"/>
      <c r="B247" s="83"/>
      <c r="C247" s="83"/>
      <c r="E247" s="83"/>
      <c r="F247" s="83"/>
    </row>
    <row r="248" spans="1:6">
      <c r="A248" s="83"/>
      <c r="B248" s="83"/>
      <c r="C248" s="83"/>
      <c r="E248" s="83"/>
      <c r="F248" s="83"/>
    </row>
    <row r="249" spans="1:6">
      <c r="A249" s="83"/>
      <c r="B249" s="83"/>
      <c r="C249" s="83"/>
      <c r="E249" s="83"/>
      <c r="F249" s="83"/>
    </row>
    <row r="250" spans="1:6">
      <c r="A250" s="83"/>
      <c r="B250" s="83"/>
      <c r="C250" s="83"/>
      <c r="E250" s="83"/>
      <c r="F250" s="83"/>
    </row>
    <row r="251" spans="1:6">
      <c r="A251" s="83"/>
      <c r="B251" s="83"/>
      <c r="C251" s="83"/>
      <c r="E251" s="83"/>
      <c r="F251" s="83"/>
    </row>
    <row r="252" spans="1:6">
      <c r="A252" s="83"/>
      <c r="B252" s="83"/>
      <c r="C252" s="83"/>
      <c r="E252" s="83"/>
      <c r="F252" s="83"/>
    </row>
    <row r="253" spans="1:6">
      <c r="A253" s="83"/>
      <c r="B253" s="83"/>
      <c r="C253" s="83"/>
      <c r="E253" s="83"/>
      <c r="F253" s="83"/>
    </row>
    <row r="254" spans="1:6">
      <c r="A254" s="83"/>
      <c r="B254" s="83"/>
      <c r="C254" s="83"/>
      <c r="E254" s="83"/>
      <c r="F254" s="83"/>
    </row>
    <row r="255" spans="1:6">
      <c r="A255" s="83"/>
      <c r="B255" s="83"/>
      <c r="C255" s="83"/>
      <c r="E255" s="83"/>
      <c r="F255" s="83"/>
    </row>
    <row r="256" spans="1:6">
      <c r="A256" s="83"/>
      <c r="B256" s="83"/>
      <c r="C256" s="83"/>
      <c r="E256" s="83"/>
      <c r="F256" s="83"/>
    </row>
    <row r="257" spans="1:6">
      <c r="A257" s="83"/>
      <c r="B257" s="83"/>
      <c r="C257" s="83"/>
      <c r="E257" s="83"/>
      <c r="F257" s="83"/>
    </row>
    <row r="258" spans="1:6">
      <c r="A258" s="83"/>
      <c r="B258" s="83"/>
      <c r="C258" s="83"/>
      <c r="E258" s="83"/>
      <c r="F258" s="83"/>
    </row>
    <row r="259" spans="1:6">
      <c r="A259" s="83"/>
      <c r="B259" s="83"/>
      <c r="C259" s="83"/>
      <c r="E259" s="83"/>
      <c r="F259" s="83"/>
    </row>
    <row r="260" spans="1:6">
      <c r="A260" s="83"/>
      <c r="B260" s="83"/>
      <c r="C260" s="83"/>
      <c r="E260" s="83"/>
      <c r="F260" s="83"/>
    </row>
    <row r="261" spans="1:6">
      <c r="A261" s="83"/>
      <c r="B261" s="83"/>
      <c r="C261" s="83"/>
      <c r="E261" s="83"/>
      <c r="F261" s="83"/>
    </row>
    <row r="262" spans="1:6">
      <c r="A262" s="83"/>
      <c r="B262" s="83"/>
      <c r="C262" s="83"/>
      <c r="E262" s="83"/>
      <c r="F262" s="83"/>
    </row>
    <row r="263" spans="1:6">
      <c r="A263" s="83"/>
      <c r="B263" s="83"/>
      <c r="C263" s="83"/>
      <c r="E263" s="83"/>
      <c r="F263" s="83"/>
    </row>
    <row r="264" spans="1:6">
      <c r="A264" s="83"/>
      <c r="B264" s="83"/>
      <c r="C264" s="83"/>
      <c r="E264" s="83"/>
      <c r="F264" s="83"/>
    </row>
    <row r="265" spans="1:6">
      <c r="A265" s="83"/>
      <c r="B265" s="83"/>
      <c r="C265" s="83"/>
      <c r="E265" s="83"/>
      <c r="F265" s="83"/>
    </row>
    <row r="266" spans="1:6">
      <c r="A266" s="83"/>
      <c r="B266" s="83"/>
      <c r="C266" s="83"/>
      <c r="E266" s="83"/>
      <c r="F266" s="83"/>
    </row>
    <row r="267" spans="1:6">
      <c r="A267" s="83"/>
      <c r="B267" s="83"/>
      <c r="C267" s="83"/>
      <c r="E267" s="83"/>
      <c r="F267" s="83"/>
    </row>
    <row r="268" spans="1:6">
      <c r="A268" s="83"/>
      <c r="B268" s="83"/>
      <c r="C268" s="83"/>
      <c r="E268" s="83"/>
      <c r="F268" s="83"/>
    </row>
    <row r="269" spans="1:6">
      <c r="A269" s="83"/>
      <c r="B269" s="83"/>
      <c r="C269" s="83"/>
      <c r="E269" s="83"/>
      <c r="F269" s="83"/>
    </row>
    <row r="270" spans="1:6">
      <c r="A270" s="83"/>
      <c r="B270" s="83"/>
      <c r="C270" s="83"/>
      <c r="E270" s="83"/>
      <c r="F270" s="83"/>
    </row>
    <row r="271" spans="1:6">
      <c r="A271" s="83"/>
      <c r="B271" s="83"/>
      <c r="C271" s="83"/>
      <c r="E271" s="83"/>
      <c r="F271" s="83"/>
    </row>
    <row r="272" spans="1:6">
      <c r="A272" s="83"/>
      <c r="B272" s="83"/>
      <c r="C272" s="83"/>
      <c r="E272" s="83"/>
      <c r="F272" s="83"/>
    </row>
    <row r="273" spans="1:6">
      <c r="A273" s="83"/>
      <c r="B273" s="83"/>
      <c r="C273" s="83"/>
      <c r="E273" s="83"/>
      <c r="F273" s="83"/>
    </row>
    <row r="274" spans="1:6">
      <c r="A274" s="83"/>
      <c r="B274" s="83"/>
      <c r="C274" s="83"/>
      <c r="E274" s="83"/>
      <c r="F274" s="83"/>
    </row>
    <row r="275" spans="1:6">
      <c r="A275" s="83"/>
      <c r="B275" s="83"/>
      <c r="C275" s="83"/>
      <c r="E275" s="83"/>
      <c r="F275" s="83"/>
    </row>
    <row r="276" spans="1:6">
      <c r="A276" s="83"/>
      <c r="B276" s="83"/>
      <c r="C276" s="83"/>
      <c r="E276" s="83"/>
      <c r="F276" s="83"/>
    </row>
    <row r="277" spans="1:6">
      <c r="A277" s="83"/>
      <c r="B277" s="83"/>
      <c r="C277" s="83"/>
      <c r="E277" s="83"/>
      <c r="F277" s="83"/>
    </row>
    <row r="278" spans="1:6">
      <c r="A278" s="83"/>
      <c r="B278" s="83"/>
      <c r="C278" s="83"/>
      <c r="E278" s="83"/>
      <c r="F278" s="83"/>
    </row>
    <row r="279" spans="1:6">
      <c r="A279" s="83"/>
      <c r="B279" s="83"/>
      <c r="C279" s="83"/>
      <c r="E279" s="83"/>
      <c r="F279" s="83"/>
    </row>
    <row r="280" spans="1:6">
      <c r="A280" s="83"/>
      <c r="B280" s="83"/>
      <c r="C280" s="83"/>
      <c r="E280" s="83"/>
      <c r="F280" s="83"/>
    </row>
    <row r="281" spans="1:6">
      <c r="A281" s="83"/>
      <c r="B281" s="83"/>
      <c r="C281" s="83"/>
      <c r="E281" s="83"/>
      <c r="F281" s="83"/>
    </row>
    <row r="282" spans="1:6">
      <c r="A282" s="83"/>
      <c r="B282" s="83"/>
      <c r="C282" s="83"/>
      <c r="E282" s="83"/>
      <c r="F282" s="83"/>
    </row>
    <row r="283" spans="1:6">
      <c r="A283" s="83"/>
      <c r="B283" s="83"/>
      <c r="C283" s="83"/>
      <c r="E283" s="83"/>
      <c r="F283" s="83"/>
    </row>
    <row r="284" spans="1:6">
      <c r="A284" s="83"/>
      <c r="B284" s="83"/>
      <c r="C284" s="83"/>
      <c r="E284" s="83"/>
      <c r="F284" s="83"/>
    </row>
    <row r="285" spans="1:6">
      <c r="A285" s="83"/>
      <c r="B285" s="83"/>
      <c r="C285" s="83"/>
      <c r="E285" s="83"/>
      <c r="F285" s="83"/>
    </row>
    <row r="286" spans="1:6">
      <c r="A286" s="83"/>
      <c r="B286" s="83"/>
      <c r="C286" s="83"/>
      <c r="E286" s="83"/>
      <c r="F286" s="83"/>
    </row>
    <row r="287" spans="1:6">
      <c r="A287" s="83"/>
      <c r="B287" s="83"/>
      <c r="C287" s="83"/>
      <c r="E287" s="83"/>
      <c r="F287" s="83"/>
    </row>
    <row r="288" spans="1:6">
      <c r="A288" s="83"/>
      <c r="B288" s="83"/>
      <c r="C288" s="83"/>
      <c r="E288" s="83"/>
      <c r="F288" s="83"/>
    </row>
    <row r="289" spans="1:6">
      <c r="A289" s="83"/>
      <c r="B289" s="83"/>
      <c r="C289" s="83"/>
      <c r="E289" s="83"/>
      <c r="F289" s="83"/>
    </row>
    <row r="290" spans="1:6">
      <c r="A290" s="83"/>
      <c r="B290" s="83"/>
      <c r="C290" s="83"/>
      <c r="E290" s="83"/>
      <c r="F290" s="83"/>
    </row>
    <row r="291" spans="1:6">
      <c r="A291" s="83"/>
      <c r="B291" s="83"/>
      <c r="C291" s="83"/>
      <c r="E291" s="83"/>
      <c r="F291" s="83"/>
    </row>
    <row r="292" spans="1:6">
      <c r="A292" s="83"/>
      <c r="B292" s="83"/>
      <c r="C292" s="83"/>
      <c r="E292" s="83"/>
      <c r="F292" s="83"/>
    </row>
  </sheetData>
  <sheetProtection algorithmName="SHA-512" hashValue="88SoF09KX429oZxR5sMDt1zZPhW4TiuM4UKTWm4QYQD4aRlxF25+7zKdua9BnLqsprIisTq07jEji1cFfMPB3A==" saltValue="hve5smnn3GEl4XG/7TSJ+w==" spinCount="100000" sheet="1" objects="1" scenarios="1" selectLockedCells="1"/>
  <sortState xmlns:xlrd2="http://schemas.microsoft.com/office/spreadsheetml/2017/richdata2" ref="I4:I122">
    <sortCondition ref="I122"/>
  </sortState>
  <mergeCells count="43">
    <mergeCell ref="H76:H78"/>
    <mergeCell ref="I67:I69"/>
    <mergeCell ref="I70:I72"/>
    <mergeCell ref="A51:B51"/>
    <mergeCell ref="A85:B85"/>
    <mergeCell ref="A89:B89"/>
    <mergeCell ref="A92:B92"/>
    <mergeCell ref="A84:B84"/>
    <mergeCell ref="A1:H1"/>
    <mergeCell ref="A33:B33"/>
    <mergeCell ref="A49:B49"/>
    <mergeCell ref="A3:B3"/>
    <mergeCell ref="A26:B26"/>
    <mergeCell ref="A27:B27"/>
    <mergeCell ref="A29:B29"/>
    <mergeCell ref="A30:B30"/>
    <mergeCell ref="E23:H23"/>
    <mergeCell ref="A34:B34"/>
    <mergeCell ref="A38:B38"/>
    <mergeCell ref="A45:B45"/>
    <mergeCell ref="C49:G50"/>
    <mergeCell ref="F40:G40"/>
    <mergeCell ref="Q57:S57"/>
    <mergeCell ref="K59:M59"/>
    <mergeCell ref="N59:P59"/>
    <mergeCell ref="Q59:S59"/>
    <mergeCell ref="N33:P33"/>
    <mergeCell ref="A157:H157"/>
    <mergeCell ref="A161:H161"/>
    <mergeCell ref="A166:H166"/>
    <mergeCell ref="K57:M57"/>
    <mergeCell ref="N57:P57"/>
    <mergeCell ref="I73:I75"/>
    <mergeCell ref="I76:I78"/>
    <mergeCell ref="A64:E64"/>
    <mergeCell ref="I79:I81"/>
    <mergeCell ref="A95:B95"/>
    <mergeCell ref="A113:B113"/>
    <mergeCell ref="A124:B124"/>
    <mergeCell ref="H79:H81"/>
    <mergeCell ref="H67:H69"/>
    <mergeCell ref="H70:H72"/>
    <mergeCell ref="H73:H75"/>
  </mergeCells>
  <phoneticPr fontId="5" type="noConversion"/>
  <conditionalFormatting sqref="B5:B6 B10 B35:B37 B42 B46:B47 B52">
    <cfRule type="expression" dxfId="15" priority="7" stopIfTrue="1">
      <formula>RiskColorCellsSimOutput</formula>
    </cfRule>
    <cfRule type="expression" dxfId="14" priority="8" stopIfTrue="1">
      <formula>RiskColorCellsSimInput</formula>
    </cfRule>
    <cfRule type="expression" dxfId="13" priority="9" stopIfTrue="1">
      <formula>RiskColorCellsSimStatistics</formula>
    </cfRule>
  </conditionalFormatting>
  <conditionalFormatting sqref="B25">
    <cfRule type="cellIs" dxfId="12" priority="6" operator="greaterThan">
      <formula>1</formula>
    </cfRule>
  </conditionalFormatting>
  <printOptions headings="1" gridLines="1"/>
  <pageMargins left="0.7" right="0.7" top="0.75" bottom="0.75" header="0.3" footer="0.3"/>
  <pageSetup scale="18" fitToHeight="0" orientation="portrait" r:id="rId1"/>
  <drawing r:id="rId2"/>
  <extLst>
    <ext xmlns:x14="http://schemas.microsoft.com/office/spreadsheetml/2009/9/main" uri="{CCE6A557-97BC-4b89-ADB6-D9C93CAAB3DF}">
      <x14:dataValidations xmlns:xm="http://schemas.microsoft.com/office/excel/2006/main" count="19">
        <x14:dataValidation type="list" allowBlank="1" showInputMessage="1" showErrorMessage="1" xr:uid="{8629D6F6-3F96-4DA9-8C52-1A48C71E07E0}">
          <x14:formula1>
            <xm:f>Equipment!$AD$1:$AD$12</xm:f>
          </x14:formula1>
          <xm:sqref>B9</xm:sqref>
        </x14:dataValidation>
        <x14:dataValidation type="list" allowBlank="1" showInputMessage="1" showErrorMessage="1" xr:uid="{9F2DE2FA-C087-4F51-B786-F91BC6B833E8}">
          <x14:formula1>
            <xm:f>Equipment!$A$154:$A$157</xm:f>
          </x14:formula1>
          <xm:sqref>B66</xm:sqref>
        </x14:dataValidation>
        <x14:dataValidation type="list" allowBlank="1" showInputMessage="1" showErrorMessage="1" xr:uid="{E10073D9-80E7-4A19-A2D0-1157D7003D85}">
          <x14:formula1>
            <xm:f>Equipment!$A$159:$A$162</xm:f>
          </x14:formula1>
          <xm:sqref>B67</xm:sqref>
        </x14:dataValidation>
        <x14:dataValidation type="list" allowBlank="1" showInputMessage="1" showErrorMessage="1" xr:uid="{B7001B35-3D76-40EC-B81F-A4BEE232F11A}">
          <x14:formula1>
            <xm:f>Equipment!$A$109:$A$112</xm:f>
          </x14:formula1>
          <xm:sqref>B68</xm:sqref>
        </x14:dataValidation>
        <x14:dataValidation type="list" allowBlank="1" showInputMessage="1" showErrorMessage="1" xr:uid="{882AFFDC-2197-423D-B33A-DF38B4CF2FBB}">
          <x14:formula1>
            <xm:f>Equipment!$A$114:$A$117</xm:f>
          </x14:formula1>
          <xm:sqref>B69</xm:sqref>
        </x14:dataValidation>
        <x14:dataValidation type="list" allowBlank="1" showInputMessage="1" showErrorMessage="1" xr:uid="{742434B2-0017-435B-A6D7-F19FFC81A9FB}">
          <x14:formula1>
            <xm:f>Equipment!$A$119:$A$122</xm:f>
          </x14:formula1>
          <xm:sqref>B70</xm:sqref>
        </x14:dataValidation>
        <x14:dataValidation type="list" allowBlank="1" showInputMessage="1" showErrorMessage="1" xr:uid="{996E8003-E902-44ED-B768-B4B7EF733D76}">
          <x14:formula1>
            <xm:f>Equipment!$A$124:$A$127</xm:f>
          </x14:formula1>
          <xm:sqref>B71</xm:sqref>
        </x14:dataValidation>
        <x14:dataValidation type="list" allowBlank="1" showInputMessage="1" showErrorMessage="1" xr:uid="{B019761C-D0FD-47B8-928F-27809FBE6640}">
          <x14:formula1>
            <xm:f>Equipment!$A$129:$A$132</xm:f>
          </x14:formula1>
          <xm:sqref>B72</xm:sqref>
        </x14:dataValidation>
        <x14:dataValidation type="list" allowBlank="1" showInputMessage="1" showErrorMessage="1" xr:uid="{177A64D8-C787-4306-978A-46E4A3E5302B}">
          <x14:formula1>
            <xm:f>Equipment!$A$134:$A$137</xm:f>
          </x14:formula1>
          <xm:sqref>B73</xm:sqref>
        </x14:dataValidation>
        <x14:dataValidation type="list" allowBlank="1" showInputMessage="1" showErrorMessage="1" xr:uid="{3AB1775F-4A86-41F3-AF35-C6F85D18B14F}">
          <x14:formula1>
            <xm:f>Equipment!$A$90:$A$102</xm:f>
          </x14:formula1>
          <xm:sqref>B74</xm:sqref>
        </x14:dataValidation>
        <x14:dataValidation type="list" allowBlank="1" showInputMessage="1" showErrorMessage="1" xr:uid="{8D0C2D3F-ABC4-453F-A52A-2010A52066D0}">
          <x14:formula1>
            <xm:f>Equipment!$A$139:$A$142</xm:f>
          </x14:formula1>
          <xm:sqref>B75</xm:sqref>
        </x14:dataValidation>
        <x14:dataValidation type="list" allowBlank="1" showInputMessage="1" showErrorMessage="1" xr:uid="{3CF22A0D-9346-4BBD-8942-E3640CAB9923}">
          <x14:formula1>
            <xm:f>Equipment!$A$144:$A$147</xm:f>
          </x14:formula1>
          <xm:sqref>B76</xm:sqref>
        </x14:dataValidation>
        <x14:dataValidation type="list" allowBlank="1" showInputMessage="1" showErrorMessage="1" xr:uid="{662D90F4-E606-4778-899A-BE13881D136D}">
          <x14:formula1>
            <xm:f>Equipment!$A$149:$A$152</xm:f>
          </x14:formula1>
          <xm:sqref>B77</xm:sqref>
        </x14:dataValidation>
        <x14:dataValidation type="list" allowBlank="1" showInputMessage="1" showErrorMessage="1" xr:uid="{17582290-08F3-4EE0-BCF4-58CF752ECC64}">
          <x14:formula1>
            <xm:f>Equipment!$A$73:$A$88</xm:f>
          </x14:formula1>
          <xm:sqref>B79</xm:sqref>
        </x14:dataValidation>
        <x14:dataValidation type="list" allowBlank="1" showInputMessage="1" showErrorMessage="1" xr:uid="{28FC5972-F51C-4842-8052-CED01C8518BF}">
          <x14:formula1>
            <xm:f>Equipment!$A$43:$A$55</xm:f>
          </x14:formula1>
          <xm:sqref>B81</xm:sqref>
        </x14:dataValidation>
        <x14:dataValidation type="list" allowBlank="1" showInputMessage="1" showErrorMessage="1" xr:uid="{EF6F9411-F7FE-4A99-88E0-448470D582DE}">
          <x14:formula1>
            <xm:f>Equipment!$A$104:$A$107</xm:f>
          </x14:formula1>
          <xm:sqref>B82</xm:sqref>
        </x14:dataValidation>
        <x14:dataValidation type="list" allowBlank="1" showInputMessage="1" showErrorMessage="1" xr:uid="{446A7C50-771B-48D0-9DA9-9A094728DBA6}">
          <x14:formula1>
            <xm:f>Equipment!$A$57:$A$71</xm:f>
          </x14:formula1>
          <xm:sqref>B78</xm:sqref>
        </x14:dataValidation>
        <x14:dataValidation type="list" allowBlank="1" showInputMessage="1" showErrorMessage="1" xr:uid="{C55227ED-6CE7-4BB7-9717-CC97EE3494D5}">
          <x14:formula1>
            <xm:f>Equipment!$K$1:$K$2</xm:f>
          </x14:formula1>
          <xm:sqref>B39</xm:sqref>
        </x14:dataValidation>
        <x14:dataValidation type="list" allowBlank="1" showInputMessage="1" showErrorMessage="1" xr:uid="{75E708CB-8DE1-4BD9-A6D3-F7D0702FE6AA}">
          <x14:formula1>
            <xm:f>Equipment!$A$22:$A$41</xm:f>
          </x14:formula1>
          <xm:sqref>B80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3AF500-3B72-4774-B59D-2C06FA697FAD}">
  <sheetPr codeName="Sheet15">
    <tabColor rgb="FF002060"/>
  </sheetPr>
  <dimension ref="A1:P173"/>
  <sheetViews>
    <sheetView view="pageLayout" topLeftCell="A88" zoomScale="130" zoomScaleNormal="80" zoomScalePageLayoutView="130" workbookViewId="0">
      <selection sqref="A1:F4"/>
    </sheetView>
  </sheetViews>
  <sheetFormatPr defaultColWidth="53.42578125" defaultRowHeight="13.9"/>
  <cols>
    <col min="1" max="1" width="28.28515625" style="182" customWidth="1"/>
    <col min="2" max="2" width="24.7109375" style="182" bestFit="1" customWidth="1"/>
    <col min="3" max="3" width="11.7109375" style="182" customWidth="1"/>
    <col min="4" max="4" width="19.140625" style="182" bestFit="1" customWidth="1"/>
    <col min="5" max="16384" width="53.42578125" style="182"/>
  </cols>
  <sheetData>
    <row r="1" spans="1:4">
      <c r="A1" s="560" t="str">
        <f>Inputs!A3</f>
        <v>Herd and Milk Production Related Information</v>
      </c>
      <c r="B1" s="561"/>
      <c r="C1" s="561"/>
      <c r="D1" s="189"/>
    </row>
    <row r="2" spans="1:4">
      <c r="A2" s="562" t="s">
        <v>27</v>
      </c>
      <c r="B2" s="563"/>
      <c r="D2" s="187"/>
    </row>
    <row r="3" spans="1:4">
      <c r="A3" s="190" t="s">
        <v>28</v>
      </c>
      <c r="B3" s="200">
        <f>Inputs!B5</f>
        <v>263</v>
      </c>
      <c r="D3" s="187"/>
    </row>
    <row r="4" spans="1:4" ht="27.6">
      <c r="A4" s="190" t="s">
        <v>207</v>
      </c>
      <c r="B4" s="201">
        <f>Inputs!B6</f>
        <v>63</v>
      </c>
      <c r="D4" s="187"/>
    </row>
    <row r="5" spans="1:4">
      <c r="A5" s="190" t="s">
        <v>208</v>
      </c>
      <c r="B5" s="161">
        <f>Inputs!B7</f>
        <v>4.0500000000000001E-2</v>
      </c>
      <c r="D5" s="187"/>
    </row>
    <row r="6" spans="1:4">
      <c r="A6" s="190" t="s">
        <v>31</v>
      </c>
      <c r="B6" s="161">
        <f>Inputs!B8</f>
        <v>3.7999999999999999E-2</v>
      </c>
      <c r="C6" s="202"/>
      <c r="D6" s="187"/>
    </row>
    <row r="7" spans="1:4" ht="27.6">
      <c r="A7" s="190" t="s">
        <v>32</v>
      </c>
      <c r="B7" s="201">
        <f>Inputs!B9</f>
        <v>12</v>
      </c>
      <c r="C7" s="202"/>
      <c r="D7" s="187"/>
    </row>
    <row r="8" spans="1:4" ht="27.6">
      <c r="A8" s="190" t="s">
        <v>33</v>
      </c>
      <c r="B8" s="203">
        <f>Inputs!B10</f>
        <v>0.49</v>
      </c>
      <c r="C8" s="202"/>
      <c r="D8" s="187"/>
    </row>
    <row r="9" spans="1:4" ht="27.6">
      <c r="A9" s="196" t="s">
        <v>34</v>
      </c>
      <c r="B9" s="180">
        <f>Inputs!B11</f>
        <v>20</v>
      </c>
      <c r="C9" s="181"/>
      <c r="D9" s="188"/>
    </row>
    <row r="10" spans="1:4">
      <c r="A10" s="193" t="s">
        <v>35</v>
      </c>
      <c r="B10" s="194" t="s">
        <v>209</v>
      </c>
      <c r="C10" s="194" t="s">
        <v>37</v>
      </c>
      <c r="D10" s="189"/>
    </row>
    <row r="11" spans="1:4">
      <c r="A11" s="190" t="s">
        <v>42</v>
      </c>
      <c r="B11" s="163">
        <f>Inputs!B15</f>
        <v>0.1</v>
      </c>
      <c r="C11" s="204">
        <f>Inputs!C15</f>
        <v>1</v>
      </c>
      <c r="D11" s="187"/>
    </row>
    <row r="12" spans="1:4">
      <c r="A12" s="190" t="s">
        <v>45</v>
      </c>
      <c r="B12" s="163">
        <f>Inputs!B16</f>
        <v>0.11</v>
      </c>
      <c r="C12" s="204">
        <f>Inputs!C16</f>
        <v>0</v>
      </c>
      <c r="D12" s="187"/>
    </row>
    <row r="13" spans="1:4">
      <c r="A13" s="190" t="s">
        <v>48</v>
      </c>
      <c r="B13" s="163">
        <f>Inputs!B17</f>
        <v>0.08</v>
      </c>
      <c r="C13" s="204">
        <f>Inputs!C17</f>
        <v>0</v>
      </c>
      <c r="D13" s="187"/>
    </row>
    <row r="14" spans="1:4">
      <c r="A14" s="190" t="s">
        <v>52</v>
      </c>
      <c r="B14" s="163">
        <f>Inputs!B18</f>
        <v>0.14000000000000001</v>
      </c>
      <c r="C14" s="204">
        <f>Inputs!C18</f>
        <v>0</v>
      </c>
      <c r="D14" s="187"/>
    </row>
    <row r="15" spans="1:4">
      <c r="A15" s="190" t="s">
        <v>55</v>
      </c>
      <c r="B15" s="163">
        <f>Inputs!B19</f>
        <v>0.125</v>
      </c>
      <c r="C15" s="204">
        <f>Inputs!C19</f>
        <v>0</v>
      </c>
      <c r="D15" s="187"/>
    </row>
    <row r="16" spans="1:4">
      <c r="A16" s="190" t="s">
        <v>58</v>
      </c>
      <c r="B16" s="163">
        <f>Inputs!B20</f>
        <v>0.09</v>
      </c>
      <c r="C16" s="204">
        <f>Inputs!C20</f>
        <v>0</v>
      </c>
      <c r="D16" s="187"/>
    </row>
    <row r="17" spans="1:5">
      <c r="A17" s="190" t="s">
        <v>61</v>
      </c>
      <c r="B17" s="163">
        <f>Inputs!B21</f>
        <v>0.12</v>
      </c>
      <c r="C17" s="204">
        <f>Inputs!C21</f>
        <v>0</v>
      </c>
      <c r="D17" s="187"/>
    </row>
    <row r="18" spans="1:5">
      <c r="A18" s="190" t="s">
        <v>64</v>
      </c>
      <c r="B18" s="163">
        <f>Inputs!B22</f>
        <v>0.2</v>
      </c>
      <c r="C18" s="204">
        <f>Inputs!C22</f>
        <v>0</v>
      </c>
      <c r="D18" s="187"/>
    </row>
    <row r="19" spans="1:5">
      <c r="A19" s="190" t="s">
        <v>67</v>
      </c>
      <c r="B19" s="163">
        <f>Inputs!B23</f>
        <v>0</v>
      </c>
      <c r="C19" s="204">
        <f>Inputs!C23</f>
        <v>0</v>
      </c>
      <c r="D19" s="187"/>
    </row>
    <row r="20" spans="1:5">
      <c r="A20" s="190" t="s">
        <v>69</v>
      </c>
      <c r="B20" s="163">
        <f>Inputs!B24</f>
        <v>0</v>
      </c>
      <c r="C20" s="204">
        <f>Inputs!C24</f>
        <v>0</v>
      </c>
      <c r="D20" s="187"/>
    </row>
    <row r="21" spans="1:5">
      <c r="A21" s="196" t="s">
        <v>70</v>
      </c>
      <c r="B21" s="164">
        <f>Inputs!B25</f>
        <v>0</v>
      </c>
      <c r="C21" s="192">
        <f>Inputs!C25</f>
        <v>0</v>
      </c>
      <c r="D21" s="210"/>
    </row>
    <row r="22" spans="1:5">
      <c r="A22" s="193" t="s">
        <v>210</v>
      </c>
      <c r="B22" s="194" t="s">
        <v>211</v>
      </c>
      <c r="C22" s="194" t="s">
        <v>212</v>
      </c>
      <c r="D22" s="195" t="s">
        <v>213</v>
      </c>
    </row>
    <row r="23" spans="1:5" ht="27.6">
      <c r="A23" s="190" t="s">
        <v>42</v>
      </c>
      <c r="B23" s="163">
        <f>Inputs!F15</f>
        <v>0.1</v>
      </c>
      <c r="C23" s="209" t="str">
        <f>Inputs!G15</f>
        <v>at least 60 days</v>
      </c>
      <c r="D23" s="233" t="str">
        <f>Inputs!H15</f>
        <v>Mild, Medium, Sharp, Flavored</v>
      </c>
    </row>
    <row r="24" spans="1:5" ht="27.6">
      <c r="A24" s="190" t="s">
        <v>45</v>
      </c>
      <c r="B24" s="163">
        <f>Inputs!F16</f>
        <v>0.11</v>
      </c>
      <c r="C24" s="209" t="str">
        <f>Inputs!G16</f>
        <v>150 days</v>
      </c>
      <c r="D24" s="233" t="str">
        <f>Inputs!H16</f>
        <v>Gouda, Havarti, Munster</v>
      </c>
    </row>
    <row r="25" spans="1:5" ht="27.6">
      <c r="A25" s="190" t="s">
        <v>48</v>
      </c>
      <c r="B25" s="163">
        <f>Inputs!F17</f>
        <v>0.08</v>
      </c>
      <c r="C25" s="209" t="str">
        <f>Inputs!G17</f>
        <v>180 days</v>
      </c>
      <c r="D25" s="233" t="str">
        <f>Inputs!H17</f>
        <v>Parmesan, Romano, Asiago</v>
      </c>
    </row>
    <row r="26" spans="1:5" ht="27.6">
      <c r="A26" s="190" t="s">
        <v>52</v>
      </c>
      <c r="B26" s="163">
        <f>Inputs!F18</f>
        <v>0.14000000000000001</v>
      </c>
      <c r="C26" s="209" t="str">
        <f>Inputs!G18</f>
        <v>2 days</v>
      </c>
      <c r="D26" s="233" t="str">
        <f>Inputs!H18</f>
        <v>Mozzarella, Burratta, Flavored</v>
      </c>
    </row>
    <row r="27" spans="1:5" ht="41.45">
      <c r="A27" s="190" t="s">
        <v>55</v>
      </c>
      <c r="B27" s="163">
        <f>Inputs!F19</f>
        <v>0.125</v>
      </c>
      <c r="C27" s="209" t="str">
        <f>Inputs!G19</f>
        <v>14 days</v>
      </c>
      <c r="D27" s="233" t="str">
        <f>Inputs!H19</f>
        <v>Brie, Camembert, Fromager d'Affinois, Humboldt Fog</v>
      </c>
    </row>
    <row r="28" spans="1:5" ht="27.6">
      <c r="A28" s="190" t="s">
        <v>58</v>
      </c>
      <c r="B28" s="163">
        <f>Inputs!F20</f>
        <v>0.09</v>
      </c>
      <c r="C28" s="209" t="str">
        <f>Inputs!G20</f>
        <v>120 to 180 days</v>
      </c>
      <c r="D28" s="233" t="str">
        <f>Inputs!H20</f>
        <v>Gruyere, Emmenthaler, Swiss, Comte</v>
      </c>
    </row>
    <row r="29" spans="1:5" ht="27.6">
      <c r="A29" s="190" t="s">
        <v>61</v>
      </c>
      <c r="B29" s="163">
        <f>Inputs!F21</f>
        <v>0.12</v>
      </c>
      <c r="C29" s="209" t="str">
        <f>Inputs!G21</f>
        <v>60 to 90 days</v>
      </c>
      <c r="D29" s="233" t="str">
        <f>Inputs!H21</f>
        <v>Gorgonzola, Stilton, Roquefort</v>
      </c>
    </row>
    <row r="30" spans="1:5" ht="27.6">
      <c r="A30" s="190" t="s">
        <v>64</v>
      </c>
      <c r="B30" s="163">
        <f>Inputs!F22</f>
        <v>0.2</v>
      </c>
      <c r="C30" s="209" t="str">
        <f>Inputs!G22</f>
        <v>2 days</v>
      </c>
      <c r="D30" s="233" t="str">
        <f>Inputs!H22</f>
        <v>Feta, Cojita, Paneer, Cream Cheese, Ricotta</v>
      </c>
    </row>
    <row r="31" spans="1:5">
      <c r="A31" s="568" t="str">
        <f>Inputs!E23</f>
        <v>**Anything aged &lt; 60 days MUST be pasteurized</v>
      </c>
      <c r="B31" s="569"/>
      <c r="C31" s="569"/>
      <c r="D31" s="570"/>
    </row>
    <row r="32" spans="1:5">
      <c r="A32" s="193" t="s">
        <v>74</v>
      </c>
      <c r="B32" s="194"/>
      <c r="C32" s="160"/>
      <c r="D32" s="211"/>
      <c r="E32" s="205"/>
    </row>
    <row r="33" spans="1:4">
      <c r="A33" s="554" t="s">
        <v>75</v>
      </c>
      <c r="B33" s="555"/>
      <c r="D33" s="212"/>
    </row>
    <row r="34" spans="1:4">
      <c r="A34" s="190" t="s">
        <v>76</v>
      </c>
      <c r="B34" s="165">
        <f>Inputs!B35</f>
        <v>25</v>
      </c>
      <c r="D34" s="212"/>
    </row>
    <row r="35" spans="1:4">
      <c r="A35" s="190" t="s">
        <v>77</v>
      </c>
      <c r="B35" s="197">
        <f>Inputs!B36</f>
        <v>4</v>
      </c>
      <c r="D35" s="212"/>
    </row>
    <row r="36" spans="1:4">
      <c r="A36" s="190" t="s">
        <v>78</v>
      </c>
      <c r="B36" s="198">
        <f>Inputs!B37</f>
        <v>38.42</v>
      </c>
      <c r="D36" s="212"/>
    </row>
    <row r="37" spans="1:4">
      <c r="A37" s="556" t="s">
        <v>79</v>
      </c>
      <c r="B37" s="557"/>
      <c r="D37" s="212"/>
    </row>
    <row r="38" spans="1:4" ht="41.45">
      <c r="A38" s="196" t="s">
        <v>80</v>
      </c>
      <c r="B38" s="167" t="str">
        <f>Inputs!B39</f>
        <v>Yes</v>
      </c>
      <c r="C38" s="162"/>
      <c r="D38" s="234"/>
    </row>
    <row r="39" spans="1:4">
      <c r="A39" s="183"/>
      <c r="B39" s="165"/>
      <c r="D39" s="166"/>
    </row>
    <row r="40" spans="1:4">
      <c r="A40" s="183"/>
      <c r="B40" s="165"/>
      <c r="D40" s="166"/>
    </row>
    <row r="41" spans="1:4">
      <c r="A41" s="193" t="s">
        <v>214</v>
      </c>
      <c r="B41" s="235"/>
      <c r="C41" s="160"/>
      <c r="D41" s="236"/>
    </row>
    <row r="42" spans="1:4" ht="41.45">
      <c r="A42" s="190" t="s">
        <v>82</v>
      </c>
      <c r="B42" s="165">
        <f>Inputs!B40</f>
        <v>0</v>
      </c>
      <c r="D42" s="212"/>
    </row>
    <row r="43" spans="1:4">
      <c r="A43" s="190" t="s">
        <v>84</v>
      </c>
      <c r="B43" s="197">
        <f>Inputs!B41</f>
        <v>123</v>
      </c>
      <c r="D43" s="212"/>
    </row>
    <row r="44" spans="1:4">
      <c r="A44" s="190" t="s">
        <v>85</v>
      </c>
      <c r="B44" s="165">
        <f>Inputs!B42</f>
        <v>104</v>
      </c>
      <c r="D44" s="212"/>
    </row>
    <row r="45" spans="1:4">
      <c r="A45" s="190" t="s">
        <v>87</v>
      </c>
      <c r="B45" s="197">
        <f>Inputs!B43</f>
        <v>133</v>
      </c>
      <c r="D45" s="212"/>
    </row>
    <row r="46" spans="1:4">
      <c r="A46" s="190" t="s">
        <v>88</v>
      </c>
      <c r="B46" s="165">
        <f>Inputs!B44</f>
        <v>259714.85</v>
      </c>
      <c r="D46" s="212"/>
    </row>
    <row r="47" spans="1:4">
      <c r="A47" s="556" t="s">
        <v>90</v>
      </c>
      <c r="B47" s="557"/>
      <c r="D47" s="212"/>
    </row>
    <row r="48" spans="1:4" ht="27.6">
      <c r="A48" s="213" t="s">
        <v>215</v>
      </c>
      <c r="B48" s="165">
        <f>Inputs!B46</f>
        <v>5.1100000000000003</v>
      </c>
      <c r="D48" s="214"/>
    </row>
    <row r="49" spans="1:11" ht="27.6">
      <c r="A49" s="190" t="s">
        <v>216</v>
      </c>
      <c r="B49" s="165">
        <f>Inputs!B47</f>
        <v>5.27</v>
      </c>
      <c r="C49" s="206"/>
      <c r="D49" s="187"/>
      <c r="E49" s="207"/>
      <c r="J49" s="183"/>
      <c r="K49" s="183"/>
    </row>
    <row r="50" spans="1:11" ht="14.45" thickBot="1">
      <c r="A50" s="196" t="s">
        <v>95</v>
      </c>
      <c r="B50" s="167">
        <f>Inputs!B48</f>
        <v>25.68</v>
      </c>
      <c r="C50" s="208"/>
      <c r="D50" s="239"/>
      <c r="E50" s="207"/>
      <c r="J50" s="183"/>
      <c r="K50" s="183"/>
    </row>
    <row r="51" spans="1:11">
      <c r="A51" s="193" t="s">
        <v>96</v>
      </c>
      <c r="B51" s="194"/>
      <c r="C51" s="564" t="s">
        <v>217</v>
      </c>
      <c r="D51" s="565"/>
      <c r="E51" s="207"/>
    </row>
    <row r="52" spans="1:11">
      <c r="A52" s="190" t="s">
        <v>98</v>
      </c>
      <c r="B52" s="165">
        <f>Inputs!B50</f>
        <v>23.23</v>
      </c>
      <c r="C52" s="566"/>
      <c r="D52" s="567"/>
    </row>
    <row r="53" spans="1:11" ht="27.6">
      <c r="A53" s="558" t="s">
        <v>99</v>
      </c>
      <c r="B53" s="559"/>
      <c r="C53" s="242" t="s">
        <v>218</v>
      </c>
      <c r="D53" s="243" t="s">
        <v>103</v>
      </c>
      <c r="E53" s="202"/>
      <c r="F53" s="202"/>
      <c r="G53" s="202"/>
    </row>
    <row r="54" spans="1:11">
      <c r="A54" s="190" t="s">
        <v>42</v>
      </c>
      <c r="B54" s="165">
        <f>Inputs!B52</f>
        <v>10.5</v>
      </c>
      <c r="C54" s="244">
        <f>Inputs!E52</f>
        <v>14.03</v>
      </c>
      <c r="D54" s="245">
        <f>Inputs!G52</f>
        <v>0</v>
      </c>
      <c r="E54" s="202"/>
      <c r="F54" s="202"/>
      <c r="G54" s="202"/>
    </row>
    <row r="55" spans="1:11">
      <c r="A55" s="190" t="s">
        <v>45</v>
      </c>
      <c r="B55" s="165">
        <f>Inputs!B53</f>
        <v>0</v>
      </c>
      <c r="C55" s="244">
        <f>Inputs!E53</f>
        <v>16.82</v>
      </c>
      <c r="D55" s="245">
        <f>Inputs!G53</f>
        <v>0.2</v>
      </c>
      <c r="E55" s="202"/>
      <c r="F55" s="202"/>
      <c r="G55" s="202"/>
    </row>
    <row r="56" spans="1:11">
      <c r="A56" s="190" t="s">
        <v>48</v>
      </c>
      <c r="B56" s="165">
        <f>Inputs!B54</f>
        <v>0</v>
      </c>
      <c r="C56" s="244">
        <f>Inputs!E54</f>
        <v>18.420000000000002</v>
      </c>
      <c r="D56" s="245">
        <f>Inputs!G54</f>
        <v>0.31</v>
      </c>
      <c r="E56" s="202"/>
      <c r="F56" s="202"/>
      <c r="G56" s="202"/>
    </row>
    <row r="57" spans="1:11">
      <c r="A57" s="190" t="s">
        <v>52</v>
      </c>
      <c r="B57" s="165">
        <f>Inputs!B55</f>
        <v>0</v>
      </c>
      <c r="C57" s="244">
        <f>Inputs!E55</f>
        <v>11.87</v>
      </c>
      <c r="D57" s="245">
        <f>Inputs!G55</f>
        <v>-0.15</v>
      </c>
      <c r="E57" s="202"/>
      <c r="F57" s="202"/>
      <c r="G57" s="202"/>
    </row>
    <row r="58" spans="1:11">
      <c r="A58" s="190" t="s">
        <v>55</v>
      </c>
      <c r="B58" s="165">
        <f>Inputs!B56</f>
        <v>0</v>
      </c>
      <c r="C58" s="244">
        <f>Inputs!E56</f>
        <v>16.5</v>
      </c>
      <c r="D58" s="245">
        <f>Inputs!G56</f>
        <v>0.18</v>
      </c>
      <c r="E58" s="202"/>
      <c r="F58" s="202"/>
      <c r="G58" s="202"/>
    </row>
    <row r="59" spans="1:11">
      <c r="A59" s="190" t="s">
        <v>58</v>
      </c>
      <c r="B59" s="165">
        <f>Inputs!B57</f>
        <v>0</v>
      </c>
      <c r="C59" s="244">
        <f>Inputs!E57</f>
        <v>17.97</v>
      </c>
      <c r="D59" s="245">
        <f>Inputs!G57</f>
        <v>0.28000000000000003</v>
      </c>
      <c r="E59" s="202"/>
      <c r="F59" s="202"/>
      <c r="G59" s="202"/>
    </row>
    <row r="60" spans="1:11">
      <c r="A60" s="190" t="s">
        <v>61</v>
      </c>
      <c r="B60" s="165">
        <f>Inputs!B58</f>
        <v>0</v>
      </c>
      <c r="C60" s="244">
        <f>Inputs!E58</f>
        <v>17.809999999999999</v>
      </c>
      <c r="D60" s="245">
        <f>Inputs!G58</f>
        <v>0.27</v>
      </c>
      <c r="E60" s="202"/>
      <c r="F60" s="202"/>
      <c r="G60" s="202"/>
    </row>
    <row r="61" spans="1:11">
      <c r="A61" s="190" t="s">
        <v>64</v>
      </c>
      <c r="B61" s="165">
        <f>Inputs!B59</f>
        <v>0</v>
      </c>
      <c r="C61" s="244">
        <f>Inputs!E59</f>
        <v>15.83</v>
      </c>
      <c r="D61" s="245">
        <f>Inputs!G59</f>
        <v>0.13</v>
      </c>
      <c r="E61" s="202"/>
      <c r="F61" s="202"/>
      <c r="G61" s="202"/>
    </row>
    <row r="62" spans="1:11">
      <c r="A62" s="190" t="s">
        <v>67</v>
      </c>
      <c r="B62" s="165">
        <f>Inputs!B60</f>
        <v>0</v>
      </c>
      <c r="C62" s="244">
        <f>Inputs!E60</f>
        <v>0</v>
      </c>
      <c r="D62" s="245">
        <f>Inputs!G60</f>
        <v>0</v>
      </c>
    </row>
    <row r="63" spans="1:11">
      <c r="A63" s="190" t="s">
        <v>69</v>
      </c>
      <c r="B63" s="165">
        <f>Inputs!B61</f>
        <v>0</v>
      </c>
      <c r="C63" s="244">
        <f>Inputs!E61</f>
        <v>0</v>
      </c>
      <c r="D63" s="245">
        <f>Inputs!G61</f>
        <v>0</v>
      </c>
    </row>
    <row r="64" spans="1:11" ht="14.45" thickBot="1">
      <c r="A64" s="196" t="s">
        <v>70</v>
      </c>
      <c r="B64" s="167">
        <f>Inputs!B62</f>
        <v>0</v>
      </c>
      <c r="C64" s="246">
        <f>Inputs!E62</f>
        <v>0</v>
      </c>
      <c r="D64" s="247">
        <f>Inputs!G62</f>
        <v>0</v>
      </c>
    </row>
    <row r="65" spans="1:7">
      <c r="A65" s="193" t="s">
        <v>200</v>
      </c>
      <c r="B65" s="194"/>
      <c r="C65" s="169"/>
      <c r="D65" s="215"/>
      <c r="E65" s="184"/>
      <c r="G65" s="184"/>
    </row>
    <row r="66" spans="1:7">
      <c r="A66" s="190" t="s">
        <v>201</v>
      </c>
      <c r="B66" s="161">
        <f>Inputs!B149</f>
        <v>8.5000000000000006E-2</v>
      </c>
      <c r="C66" s="169"/>
      <c r="D66" s="215"/>
      <c r="E66" s="184"/>
      <c r="G66" s="184"/>
    </row>
    <row r="67" spans="1:7">
      <c r="A67" s="190" t="s">
        <v>202</v>
      </c>
      <c r="B67" s="199">
        <f>Inputs!B150</f>
        <v>20</v>
      </c>
      <c r="C67" s="169"/>
      <c r="D67" s="215"/>
      <c r="E67" s="184"/>
      <c r="G67" s="184"/>
    </row>
    <row r="68" spans="1:7">
      <c r="A68" s="213" t="s">
        <v>203</v>
      </c>
      <c r="B68" s="163">
        <f>Inputs!B151</f>
        <v>0.2</v>
      </c>
      <c r="C68" s="169"/>
      <c r="D68" s="215"/>
      <c r="E68" s="184"/>
      <c r="G68" s="184"/>
    </row>
    <row r="69" spans="1:7" ht="27.6">
      <c r="A69" s="196" t="s">
        <v>204</v>
      </c>
      <c r="B69" s="164">
        <f>Inputs!B152</f>
        <v>0.8</v>
      </c>
      <c r="C69" s="168"/>
      <c r="D69" s="216"/>
      <c r="E69" s="184"/>
      <c r="G69" s="184"/>
    </row>
    <row r="70" spans="1:7">
      <c r="A70" s="217" t="s">
        <v>219</v>
      </c>
      <c r="B70" s="218" t="s">
        <v>109</v>
      </c>
      <c r="C70" s="218"/>
      <c r="D70" s="219"/>
      <c r="E70" s="184"/>
      <c r="G70" s="184"/>
    </row>
    <row r="71" spans="1:7" ht="27.6">
      <c r="A71" s="185" t="s">
        <v>112</v>
      </c>
      <c r="B71" s="165"/>
      <c r="C71" s="165"/>
      <c r="D71" s="186"/>
      <c r="E71" s="184"/>
      <c r="G71" s="184"/>
    </row>
    <row r="72" spans="1:7" ht="27.6">
      <c r="A72" s="220" t="str">
        <f>Inputs!B66</f>
        <v>Average Aging Room Env. Controls</v>
      </c>
      <c r="B72" s="171">
        <f>Inputs!C66</f>
        <v>1500</v>
      </c>
      <c r="C72" s="171">
        <f>Inputs!D66</f>
        <v>0</v>
      </c>
      <c r="D72" s="187"/>
      <c r="E72" s="184"/>
      <c r="G72" s="184"/>
    </row>
    <row r="73" spans="1:7">
      <c r="A73" s="185" t="s">
        <v>114</v>
      </c>
      <c r="B73" s="165"/>
      <c r="C73" s="165"/>
      <c r="D73" s="186"/>
      <c r="E73" s="184"/>
      <c r="G73" s="184"/>
    </row>
    <row r="74" spans="1:7">
      <c r="A74" s="220" t="str">
        <f>Inputs!B67</f>
        <v>Average Aging Room Storage</v>
      </c>
      <c r="B74" s="171">
        <f>Inputs!C67</f>
        <v>1769.27</v>
      </c>
      <c r="C74" s="171">
        <f>Inputs!D67</f>
        <v>0</v>
      </c>
      <c r="D74" s="187"/>
      <c r="E74" s="184"/>
      <c r="G74" s="184"/>
    </row>
    <row r="75" spans="1:7">
      <c r="A75" s="185" t="s">
        <v>116</v>
      </c>
      <c r="B75" s="165"/>
      <c r="C75" s="165"/>
      <c r="D75" s="186"/>
      <c r="E75" s="184"/>
      <c r="G75" s="184"/>
    </row>
    <row r="76" spans="1:7">
      <c r="A76" s="220" t="str">
        <f>Inputs!B68</f>
        <v>Not Applicable</v>
      </c>
      <c r="B76" s="171">
        <f>Inputs!C68</f>
        <v>24750</v>
      </c>
      <c r="C76" s="171">
        <f>Inputs!D68</f>
        <v>0</v>
      </c>
      <c r="D76" s="187"/>
      <c r="E76" s="184"/>
      <c r="G76" s="184"/>
    </row>
    <row r="77" spans="1:7">
      <c r="A77" s="185" t="s">
        <v>118</v>
      </c>
      <c r="B77" s="165"/>
      <c r="C77" s="165"/>
      <c r="D77" s="186"/>
      <c r="E77" s="184"/>
      <c r="G77" s="184"/>
    </row>
    <row r="78" spans="1:7">
      <c r="A78" s="220" t="str">
        <f>Inputs!B69</f>
        <v>Not Applicable</v>
      </c>
      <c r="B78" s="171">
        <f>Inputs!C69</f>
        <v>62200</v>
      </c>
      <c r="C78" s="171">
        <f>Inputs!D69</f>
        <v>0</v>
      </c>
      <c r="D78" s="187"/>
      <c r="E78" s="184"/>
      <c r="G78" s="184"/>
    </row>
    <row r="79" spans="1:7">
      <c r="A79" s="185" t="s">
        <v>119</v>
      </c>
      <c r="B79" s="165"/>
      <c r="C79" s="165"/>
      <c r="D79" s="186"/>
      <c r="E79" s="184"/>
      <c r="G79" s="184"/>
    </row>
    <row r="80" spans="1:7">
      <c r="A80" s="220" t="str">
        <f>Inputs!B70</f>
        <v>Not Applicable</v>
      </c>
      <c r="B80" s="171">
        <f>Inputs!C70</f>
        <v>14190</v>
      </c>
      <c r="C80" s="171">
        <f>Inputs!D70</f>
        <v>0</v>
      </c>
      <c r="D80" s="187"/>
      <c r="E80" s="184"/>
      <c r="G80" s="184"/>
    </row>
    <row r="81" spans="1:7">
      <c r="A81" s="185" t="s">
        <v>120</v>
      </c>
      <c r="B81" s="165"/>
      <c r="C81" s="170"/>
      <c r="D81" s="187"/>
      <c r="E81" s="184"/>
      <c r="G81" s="184"/>
    </row>
    <row r="82" spans="1:7">
      <c r="A82" s="221" t="str">
        <f>Inputs!B71</f>
        <v>Average Curd Distributors</v>
      </c>
      <c r="B82" s="222">
        <f>Inputs!C71</f>
        <v>2132.25</v>
      </c>
      <c r="C82" s="222">
        <f>Inputs!D71</f>
        <v>0</v>
      </c>
      <c r="D82" s="187"/>
      <c r="E82" s="184"/>
      <c r="G82" s="184"/>
    </row>
    <row r="83" spans="1:7">
      <c r="A83" s="185" t="s">
        <v>122</v>
      </c>
      <c r="B83" s="165"/>
      <c r="C83" s="170"/>
      <c r="D83" s="187"/>
      <c r="E83" s="184"/>
      <c r="G83" s="184"/>
    </row>
    <row r="84" spans="1:7">
      <c r="A84" s="240" t="str">
        <f>Inputs!B72</f>
        <v>Average Drain Table</v>
      </c>
      <c r="B84" s="241">
        <f>Inputs!C72</f>
        <v>19497.66</v>
      </c>
      <c r="C84" s="241">
        <f>Inputs!D72</f>
        <v>0</v>
      </c>
      <c r="D84" s="188"/>
      <c r="E84" s="184"/>
      <c r="G84" s="184"/>
    </row>
    <row r="85" spans="1:7">
      <c r="A85" s="221"/>
      <c r="B85" s="222"/>
      <c r="C85" s="222"/>
      <c r="D85" s="187"/>
      <c r="E85" s="184"/>
      <c r="G85" s="184"/>
    </row>
    <row r="86" spans="1:7">
      <c r="A86" s="221"/>
      <c r="B86" s="222"/>
      <c r="C86" s="222"/>
      <c r="D86" s="187"/>
      <c r="E86" s="184"/>
      <c r="G86" s="184"/>
    </row>
    <row r="87" spans="1:7">
      <c r="A87" s="221"/>
      <c r="B87" s="222"/>
      <c r="C87" s="222"/>
      <c r="D87" s="187"/>
      <c r="E87" s="184"/>
      <c r="G87" s="184"/>
    </row>
    <row r="88" spans="1:7">
      <c r="A88" s="217" t="s">
        <v>220</v>
      </c>
      <c r="B88" s="237" t="s">
        <v>109</v>
      </c>
      <c r="C88" s="238"/>
      <c r="D88" s="189"/>
      <c r="E88" s="184"/>
      <c r="G88" s="184"/>
    </row>
    <row r="89" spans="1:7">
      <c r="A89" s="185" t="s">
        <v>124</v>
      </c>
      <c r="B89" s="165"/>
      <c r="C89" s="170"/>
      <c r="D89" s="187"/>
      <c r="E89" s="184"/>
      <c r="G89" s="184"/>
    </row>
    <row r="90" spans="1:7">
      <c r="A90" s="221" t="str">
        <f>Inputs!B73</f>
        <v>Average Molds</v>
      </c>
      <c r="B90" s="222">
        <f>Inputs!C73</f>
        <v>5118.87</v>
      </c>
      <c r="C90" s="222">
        <f>Inputs!D73</f>
        <v>0</v>
      </c>
      <c r="D90" s="187"/>
      <c r="E90" s="184"/>
      <c r="G90" s="184"/>
    </row>
    <row r="91" spans="1:7">
      <c r="A91" s="185" t="s">
        <v>126</v>
      </c>
      <c r="B91" s="165"/>
      <c r="C91" s="170"/>
      <c r="D91" s="187"/>
      <c r="E91" s="184"/>
      <c r="G91" s="184"/>
    </row>
    <row r="92" spans="1:7">
      <c r="A92" s="221" t="str">
        <f>Inputs!B74</f>
        <v>Average Cheese Press</v>
      </c>
      <c r="B92" s="222">
        <f>Inputs!C74</f>
        <v>12120.57</v>
      </c>
      <c r="C92" s="222">
        <f>Inputs!D74</f>
        <v>0</v>
      </c>
      <c r="D92" s="187"/>
      <c r="E92" s="184"/>
      <c r="G92" s="184"/>
    </row>
    <row r="93" spans="1:7">
      <c r="A93" s="185" t="s">
        <v>128</v>
      </c>
      <c r="B93" s="165"/>
      <c r="C93" s="170"/>
      <c r="D93" s="187"/>
      <c r="E93" s="184"/>
      <c r="G93" s="184"/>
    </row>
    <row r="94" spans="1:7">
      <c r="A94" s="221" t="str">
        <f>Inputs!B75</f>
        <v>Average Slicers</v>
      </c>
      <c r="B94" s="222">
        <f>Inputs!C75</f>
        <v>10262.64</v>
      </c>
      <c r="C94" s="222">
        <f>Inputs!D75</f>
        <v>0</v>
      </c>
      <c r="D94" s="187"/>
      <c r="E94" s="184"/>
      <c r="G94" s="184"/>
    </row>
    <row r="95" spans="1:7">
      <c r="A95" s="185" t="s">
        <v>130</v>
      </c>
      <c r="B95" s="165"/>
      <c r="C95" s="170"/>
      <c r="D95" s="187"/>
      <c r="E95" s="184"/>
      <c r="G95" s="184"/>
    </row>
    <row r="96" spans="1:7">
      <c r="A96" s="221" t="str">
        <f>Inputs!B76</f>
        <v>Not Applicable</v>
      </c>
      <c r="B96" s="222">
        <f>Inputs!C76</f>
        <v>99493</v>
      </c>
      <c r="C96" s="222">
        <f>Inputs!D76</f>
        <v>0</v>
      </c>
      <c r="D96" s="187"/>
      <c r="E96" s="184"/>
      <c r="G96" s="184"/>
    </row>
    <row r="97" spans="1:7">
      <c r="A97" s="185" t="s">
        <v>131</v>
      </c>
      <c r="B97" s="165"/>
      <c r="C97" s="170"/>
      <c r="D97" s="187"/>
      <c r="E97" s="184"/>
      <c r="G97" s="184"/>
    </row>
    <row r="98" spans="1:7">
      <c r="A98" s="221" t="str">
        <f>Inputs!B77</f>
        <v>Not Applicable</v>
      </c>
      <c r="B98" s="222">
        <f>Inputs!C77</f>
        <v>65000</v>
      </c>
      <c r="C98" s="222">
        <f>Inputs!D77</f>
        <v>0</v>
      </c>
      <c r="D98" s="187"/>
      <c r="E98" s="184"/>
      <c r="G98" s="184"/>
    </row>
    <row r="99" spans="1:7">
      <c r="A99" s="185" t="s">
        <v>132</v>
      </c>
      <c r="B99" s="165"/>
      <c r="C99" s="170"/>
      <c r="D99" s="187"/>
      <c r="E99" s="184"/>
      <c r="G99" s="184"/>
    </row>
    <row r="100" spans="1:7">
      <c r="A100" s="221" t="str">
        <f>Inputs!B78</f>
        <v>Average Open Cheese Vat</v>
      </c>
      <c r="B100" s="222">
        <f>Inputs!C78</f>
        <v>40299.25</v>
      </c>
      <c r="C100" s="222">
        <f>Inputs!D78</f>
        <v>0</v>
      </c>
      <c r="D100" s="187"/>
      <c r="E100" s="184"/>
      <c r="G100" s="184"/>
    </row>
    <row r="101" spans="1:7" ht="27.6">
      <c r="A101" s="185" t="s">
        <v>134</v>
      </c>
      <c r="B101" s="165"/>
      <c r="C101" s="170"/>
      <c r="D101" s="187"/>
      <c r="E101" s="184"/>
      <c r="G101" s="184"/>
    </row>
    <row r="102" spans="1:7">
      <c r="A102" s="221" t="str">
        <f>Inputs!B79</f>
        <v>Average Batch Pasteurizer Vat Combo</v>
      </c>
      <c r="B102" s="222">
        <f>Inputs!C79</f>
        <v>31911.07</v>
      </c>
      <c r="C102" s="222">
        <f>Inputs!D79</f>
        <v>0</v>
      </c>
      <c r="D102" s="187"/>
      <c r="E102" s="184"/>
      <c r="G102" s="184"/>
    </row>
    <row r="103" spans="1:7">
      <c r="A103" s="185" t="s">
        <v>136</v>
      </c>
      <c r="B103" s="165"/>
      <c r="C103" s="170"/>
      <c r="D103" s="187"/>
      <c r="E103" s="184"/>
      <c r="G103" s="184"/>
    </row>
    <row r="104" spans="1:7">
      <c r="A104" s="220" t="str">
        <f>Inputs!B80</f>
        <v>Not Applicable</v>
      </c>
      <c r="B104" s="171">
        <f>Inputs!C80</f>
        <v>27381.439999999999</v>
      </c>
      <c r="C104" s="171">
        <f>Inputs!D80</f>
        <v>0</v>
      </c>
      <c r="D104" s="187"/>
      <c r="E104" s="184"/>
      <c r="G104" s="184"/>
    </row>
    <row r="105" spans="1:7">
      <c r="A105" s="185" t="s">
        <v>137</v>
      </c>
      <c r="B105" s="165"/>
      <c r="C105" s="170"/>
      <c r="D105" s="187"/>
      <c r="E105" s="184"/>
      <c r="G105" s="184"/>
    </row>
    <row r="106" spans="1:7">
      <c r="A106" s="220" t="str">
        <f>Inputs!B81</f>
        <v>Not Applicable</v>
      </c>
      <c r="B106" s="171">
        <f>Inputs!C81</f>
        <v>0</v>
      </c>
      <c r="C106" s="171">
        <f>Inputs!D81</f>
        <v>0</v>
      </c>
      <c r="D106" s="187"/>
      <c r="E106" s="184"/>
      <c r="G106" s="184"/>
    </row>
    <row r="107" spans="1:7">
      <c r="A107" s="185" t="s">
        <v>138</v>
      </c>
      <c r="B107" s="165"/>
      <c r="C107" s="170"/>
      <c r="D107" s="187"/>
      <c r="E107" s="184"/>
      <c r="G107" s="184"/>
    </row>
    <row r="108" spans="1:7">
      <c r="A108" s="223" t="str">
        <f>Inputs!B82</f>
        <v>Not Applicable</v>
      </c>
      <c r="B108" s="172">
        <f>Inputs!C82</f>
        <v>13880</v>
      </c>
      <c r="C108" s="172">
        <f>Inputs!D82</f>
        <v>0</v>
      </c>
      <c r="D108" s="188"/>
      <c r="E108" s="184"/>
      <c r="G108" s="184"/>
    </row>
    <row r="109" spans="1:7">
      <c r="A109" s="217" t="s">
        <v>221</v>
      </c>
      <c r="B109" s="218" t="s">
        <v>109</v>
      </c>
      <c r="C109" s="160"/>
      <c r="D109" s="189"/>
      <c r="G109" s="206"/>
    </row>
    <row r="110" spans="1:7">
      <c r="A110" s="224" t="s">
        <v>140</v>
      </c>
      <c r="B110" s="225"/>
      <c r="D110" s="187"/>
      <c r="G110" s="206"/>
    </row>
    <row r="111" spans="1:7">
      <c r="A111" s="226" t="s">
        <v>141</v>
      </c>
      <c r="B111" s="173">
        <f>Inputs!B86</f>
        <v>4356.2</v>
      </c>
      <c r="D111" s="187"/>
    </row>
    <row r="112" spans="1:7">
      <c r="A112" s="226" t="s">
        <v>142</v>
      </c>
      <c r="B112" s="173">
        <f>Inputs!B87</f>
        <v>14076.72</v>
      </c>
      <c r="D112" s="187"/>
    </row>
    <row r="113" spans="1:16">
      <c r="A113" s="226" t="s">
        <v>143</v>
      </c>
      <c r="B113" s="173">
        <f>Inputs!B88</f>
        <v>3900</v>
      </c>
      <c r="D113" s="187"/>
      <c r="E113" s="208"/>
      <c r="F113" s="208"/>
      <c r="G113" s="206"/>
    </row>
    <row r="114" spans="1:16">
      <c r="A114" s="224" t="s">
        <v>144</v>
      </c>
      <c r="B114" s="173"/>
      <c r="D114" s="187"/>
      <c r="E114" s="208"/>
      <c r="F114" s="208"/>
      <c r="G114" s="206"/>
      <c r="J114" s="209"/>
      <c r="K114" s="209"/>
      <c r="L114" s="209"/>
      <c r="M114" s="209"/>
      <c r="N114" s="209"/>
      <c r="O114" s="209"/>
      <c r="P114" s="209"/>
    </row>
    <row r="115" spans="1:16">
      <c r="A115" s="226" t="s">
        <v>136</v>
      </c>
      <c r="B115" s="173">
        <f>Inputs!B90</f>
        <v>0</v>
      </c>
      <c r="D115" s="187"/>
      <c r="J115" s="209"/>
      <c r="K115" s="209"/>
      <c r="L115" s="209"/>
      <c r="M115" s="209"/>
      <c r="N115" s="209"/>
      <c r="O115" s="209"/>
      <c r="P115" s="209"/>
    </row>
    <row r="116" spans="1:16">
      <c r="A116" s="227" t="s">
        <v>146</v>
      </c>
      <c r="B116" s="173">
        <f>Inputs!B91</f>
        <v>0</v>
      </c>
      <c r="D116" s="191"/>
      <c r="J116" s="209"/>
      <c r="K116" s="209"/>
      <c r="L116" s="209"/>
      <c r="M116" s="209"/>
      <c r="N116" s="209"/>
      <c r="O116" s="209"/>
      <c r="P116" s="209"/>
    </row>
    <row r="117" spans="1:16">
      <c r="A117" s="228" t="s">
        <v>147</v>
      </c>
      <c r="B117" s="173"/>
      <c r="D117" s="187"/>
      <c r="I117" s="209"/>
    </row>
    <row r="118" spans="1:16">
      <c r="A118" s="227" t="s">
        <v>222</v>
      </c>
      <c r="B118" s="173">
        <f>Inputs!B93</f>
        <v>20054.95</v>
      </c>
      <c r="D118" s="187"/>
      <c r="F118" s="209"/>
      <c r="G118" s="209"/>
      <c r="H118" s="209"/>
      <c r="I118" s="209"/>
    </row>
    <row r="119" spans="1:16">
      <c r="A119" s="227" t="s">
        <v>149</v>
      </c>
      <c r="B119" s="173">
        <f>Inputs!B94</f>
        <v>6800.39</v>
      </c>
      <c r="C119" s="174"/>
      <c r="D119" s="187"/>
      <c r="F119" s="209"/>
      <c r="G119" s="209"/>
      <c r="H119" s="209"/>
      <c r="I119" s="209"/>
    </row>
    <row r="120" spans="1:16">
      <c r="A120" s="228" t="s">
        <v>150</v>
      </c>
      <c r="B120" s="173"/>
      <c r="D120" s="187"/>
      <c r="F120" s="209"/>
      <c r="G120" s="209"/>
      <c r="H120" s="209"/>
      <c r="I120" s="209"/>
    </row>
    <row r="121" spans="1:16">
      <c r="A121" s="227" t="s">
        <v>151</v>
      </c>
      <c r="B121" s="173">
        <f>Inputs!B96</f>
        <v>6780.11</v>
      </c>
      <c r="D121" s="187"/>
      <c r="F121" s="209"/>
      <c r="G121" s="209"/>
      <c r="H121" s="209"/>
      <c r="I121" s="209"/>
    </row>
    <row r="122" spans="1:16">
      <c r="A122" s="227" t="s">
        <v>152</v>
      </c>
      <c r="B122" s="173">
        <f>Inputs!B97</f>
        <v>42272.86</v>
      </c>
      <c r="D122" s="187"/>
      <c r="F122" s="209"/>
      <c r="G122" s="209"/>
      <c r="H122" s="209"/>
      <c r="I122" s="209"/>
    </row>
    <row r="123" spans="1:16">
      <c r="A123" s="227" t="s">
        <v>153</v>
      </c>
      <c r="B123" s="173">
        <f>Inputs!B98</f>
        <v>1968.66</v>
      </c>
      <c r="D123" s="187"/>
      <c r="F123" s="209"/>
      <c r="G123" s="209"/>
      <c r="H123" s="209"/>
      <c r="I123" s="209"/>
    </row>
    <row r="124" spans="1:16">
      <c r="A124" s="227" t="s">
        <v>154</v>
      </c>
      <c r="B124" s="173">
        <f>Inputs!B99</f>
        <v>22515.16</v>
      </c>
      <c r="D124" s="187"/>
      <c r="F124" s="209"/>
      <c r="G124" s="209"/>
      <c r="H124" s="209"/>
      <c r="I124" s="209"/>
    </row>
    <row r="125" spans="1:16">
      <c r="A125" s="227" t="s">
        <v>155</v>
      </c>
      <c r="B125" s="173">
        <f>Inputs!B100</f>
        <v>32745.95</v>
      </c>
      <c r="D125" s="229"/>
      <c r="F125" s="209"/>
      <c r="G125" s="209"/>
      <c r="H125" s="209"/>
      <c r="I125" s="209"/>
    </row>
    <row r="126" spans="1:16">
      <c r="A126" s="227" t="s">
        <v>156</v>
      </c>
      <c r="B126" s="173">
        <f>Inputs!B101</f>
        <v>2608.33</v>
      </c>
      <c r="D126" s="187"/>
      <c r="F126" s="209"/>
      <c r="G126" s="209"/>
      <c r="H126" s="209"/>
    </row>
    <row r="127" spans="1:16">
      <c r="A127" s="227" t="s">
        <v>157</v>
      </c>
      <c r="B127" s="173">
        <f>Inputs!B102</f>
        <v>20859.419999999998</v>
      </c>
      <c r="D127" s="187"/>
    </row>
    <row r="128" spans="1:16">
      <c r="A128" s="227" t="s">
        <v>158</v>
      </c>
      <c r="B128" s="173">
        <f>Inputs!B103</f>
        <v>13465</v>
      </c>
      <c r="C128" s="184"/>
      <c r="D128" s="187"/>
      <c r="J128" s="209"/>
      <c r="K128" s="183"/>
    </row>
    <row r="129" spans="1:9">
      <c r="A129" s="227" t="s">
        <v>159</v>
      </c>
      <c r="B129" s="173">
        <f>Inputs!B104</f>
        <v>35911.07</v>
      </c>
      <c r="D129" s="187"/>
    </row>
    <row r="130" spans="1:9">
      <c r="A130" s="227" t="s">
        <v>160</v>
      </c>
      <c r="B130" s="173">
        <f>Inputs!B105</f>
        <v>0</v>
      </c>
      <c r="D130" s="187"/>
    </row>
    <row r="131" spans="1:9">
      <c r="A131" s="227" t="s">
        <v>161</v>
      </c>
      <c r="B131" s="173">
        <f>Inputs!B106</f>
        <v>3042.9</v>
      </c>
      <c r="D131" s="187"/>
    </row>
    <row r="132" spans="1:9">
      <c r="A132" s="230" t="s">
        <v>162</v>
      </c>
      <c r="B132" s="173">
        <f>Inputs!B107</f>
        <v>39469.879999999997</v>
      </c>
      <c r="D132" s="187"/>
    </row>
    <row r="133" spans="1:9">
      <c r="A133" s="230" t="s">
        <v>163</v>
      </c>
      <c r="B133" s="173">
        <f>Inputs!B108</f>
        <v>7691.54</v>
      </c>
      <c r="D133" s="187"/>
    </row>
    <row r="134" spans="1:9">
      <c r="A134" s="230" t="s">
        <v>164</v>
      </c>
      <c r="B134" s="173">
        <f>Inputs!B109</f>
        <v>5808.12</v>
      </c>
      <c r="D134" s="187"/>
    </row>
    <row r="135" spans="1:9">
      <c r="A135" s="230" t="s">
        <v>165</v>
      </c>
      <c r="B135" s="173">
        <f>Inputs!B110</f>
        <v>8000</v>
      </c>
      <c r="D135" s="187"/>
    </row>
    <row r="136" spans="1:9">
      <c r="A136" s="230" t="s">
        <v>166</v>
      </c>
      <c r="B136" s="173">
        <f>Inputs!B111</f>
        <v>18815.97</v>
      </c>
      <c r="D136" s="187"/>
    </row>
    <row r="137" spans="1:9">
      <c r="A137" s="230" t="s">
        <v>167</v>
      </c>
      <c r="B137" s="173">
        <f>Inputs!B112</f>
        <v>1380.01</v>
      </c>
      <c r="D137" s="187"/>
    </row>
    <row r="138" spans="1:9">
      <c r="A138" s="232" t="s">
        <v>168</v>
      </c>
      <c r="B138" s="175">
        <f>Inputs!B113</f>
        <v>0</v>
      </c>
      <c r="C138" s="162"/>
      <c r="D138" s="188"/>
    </row>
    <row r="139" spans="1:9">
      <c r="A139" s="230"/>
      <c r="B139" s="173"/>
      <c r="D139" s="187"/>
    </row>
    <row r="140" spans="1:9" ht="27.6">
      <c r="A140" s="217" t="s">
        <v>223</v>
      </c>
      <c r="B140" s="218" t="s">
        <v>109</v>
      </c>
      <c r="C140" s="160"/>
      <c r="D140" s="189"/>
      <c r="G140" s="206"/>
    </row>
    <row r="141" spans="1:9">
      <c r="A141" s="228" t="s">
        <v>224</v>
      </c>
      <c r="B141" s="173"/>
      <c r="D141" s="187"/>
      <c r="F141" s="209"/>
      <c r="G141" s="209"/>
      <c r="H141" s="209"/>
      <c r="I141" s="209"/>
    </row>
    <row r="142" spans="1:9">
      <c r="A142" s="230" t="s">
        <v>169</v>
      </c>
      <c r="B142" s="173">
        <f>Inputs!B114</f>
        <v>0</v>
      </c>
      <c r="D142" s="187"/>
    </row>
    <row r="143" spans="1:9">
      <c r="A143" s="230" t="s">
        <v>170</v>
      </c>
      <c r="B143" s="173">
        <f>Inputs!B115</f>
        <v>0</v>
      </c>
      <c r="D143" s="187"/>
    </row>
    <row r="144" spans="1:9">
      <c r="A144" s="230" t="s">
        <v>171</v>
      </c>
      <c r="B144" s="173">
        <f>Inputs!B116</f>
        <v>25710.15</v>
      </c>
      <c r="D144" s="187"/>
    </row>
    <row r="145" spans="1:4">
      <c r="A145" s="230" t="s">
        <v>172</v>
      </c>
      <c r="B145" s="173">
        <f>Inputs!B117</f>
        <v>3460</v>
      </c>
      <c r="D145" s="187"/>
    </row>
    <row r="146" spans="1:4">
      <c r="A146" s="231" t="s">
        <v>168</v>
      </c>
      <c r="B146" s="173"/>
      <c r="D146" s="187"/>
    </row>
    <row r="147" spans="1:4">
      <c r="A147" s="230" t="s">
        <v>173</v>
      </c>
      <c r="B147" s="173">
        <f>Inputs!B119</f>
        <v>3185.6</v>
      </c>
      <c r="D147" s="187"/>
    </row>
    <row r="148" spans="1:4">
      <c r="A148" s="230" t="s">
        <v>174</v>
      </c>
      <c r="B148" s="173">
        <f>Inputs!B120</f>
        <v>54241.2</v>
      </c>
      <c r="D148" s="187"/>
    </row>
    <row r="149" spans="1:4">
      <c r="A149" s="230" t="s">
        <v>175</v>
      </c>
      <c r="B149" s="173">
        <f>Inputs!B121</f>
        <v>837.5</v>
      </c>
      <c r="D149" s="187"/>
    </row>
    <row r="150" spans="1:4">
      <c r="A150" s="230" t="s">
        <v>176</v>
      </c>
      <c r="B150" s="173">
        <f>Inputs!B122</f>
        <v>1318.33</v>
      </c>
      <c r="D150" s="187"/>
    </row>
    <row r="151" spans="1:4">
      <c r="A151" s="230" t="s">
        <v>177</v>
      </c>
      <c r="B151" s="173">
        <f>Inputs!B123</f>
        <v>0</v>
      </c>
      <c r="D151" s="187"/>
    </row>
    <row r="152" spans="1:4">
      <c r="A152" s="231" t="s">
        <v>178</v>
      </c>
      <c r="B152" s="173"/>
      <c r="D152" s="187"/>
    </row>
    <row r="153" spans="1:4">
      <c r="A153" s="230" t="s">
        <v>179</v>
      </c>
      <c r="B153" s="173">
        <f>Inputs!B125</f>
        <v>50400</v>
      </c>
      <c r="D153" s="187"/>
    </row>
    <row r="154" spans="1:4">
      <c r="A154" s="230" t="s">
        <v>180</v>
      </c>
      <c r="B154" s="173">
        <f>Inputs!B126</f>
        <v>258176.29</v>
      </c>
      <c r="D154" s="187"/>
    </row>
    <row r="155" spans="1:4">
      <c r="A155" s="230" t="s">
        <v>181</v>
      </c>
      <c r="B155" s="173">
        <f>Inputs!B127</f>
        <v>14948.55</v>
      </c>
      <c r="D155" s="187"/>
    </row>
    <row r="156" spans="1:4">
      <c r="A156" s="230" t="s">
        <v>182</v>
      </c>
      <c r="B156" s="173">
        <f>Inputs!B128</f>
        <v>4878.59</v>
      </c>
      <c r="D156" s="187"/>
    </row>
    <row r="157" spans="1:4">
      <c r="A157" s="230" t="s">
        <v>183</v>
      </c>
      <c r="B157" s="173">
        <f>Inputs!B129</f>
        <v>3473.64</v>
      </c>
      <c r="D157" s="187"/>
    </row>
    <row r="158" spans="1:4">
      <c r="A158" s="230" t="s">
        <v>184</v>
      </c>
      <c r="B158" s="173">
        <f>Inputs!B130</f>
        <v>19025.169999999998</v>
      </c>
      <c r="D158" s="187"/>
    </row>
    <row r="159" spans="1:4">
      <c r="A159" s="230" t="s">
        <v>185</v>
      </c>
      <c r="B159" s="173">
        <f>Inputs!B131</f>
        <v>1012.77</v>
      </c>
      <c r="D159" s="187"/>
    </row>
    <row r="160" spans="1:4">
      <c r="A160" s="230" t="s">
        <v>186</v>
      </c>
      <c r="B160" s="173">
        <f>Inputs!B132</f>
        <v>8205.09</v>
      </c>
      <c r="D160" s="187"/>
    </row>
    <row r="161" spans="1:4">
      <c r="A161" s="230" t="s">
        <v>187</v>
      </c>
      <c r="B161" s="173">
        <f>Inputs!B133</f>
        <v>2036.34</v>
      </c>
      <c r="D161" s="187"/>
    </row>
    <row r="162" spans="1:4">
      <c r="A162" s="230" t="s">
        <v>188</v>
      </c>
      <c r="B162" s="173">
        <f>Inputs!B134</f>
        <v>9000</v>
      </c>
      <c r="D162" s="187"/>
    </row>
    <row r="163" spans="1:4">
      <c r="A163" s="230" t="s">
        <v>189</v>
      </c>
      <c r="B163" s="173">
        <f>Inputs!B135</f>
        <v>0</v>
      </c>
      <c r="D163" s="187"/>
    </row>
    <row r="164" spans="1:4">
      <c r="A164" s="230" t="s">
        <v>190</v>
      </c>
      <c r="B164" s="173">
        <f>Inputs!B136</f>
        <v>0</v>
      </c>
      <c r="D164" s="187"/>
    </row>
    <row r="165" spans="1:4">
      <c r="A165" s="230" t="s">
        <v>191</v>
      </c>
      <c r="B165" s="173">
        <f>Inputs!B137</f>
        <v>0</v>
      </c>
      <c r="D165" s="187"/>
    </row>
    <row r="166" spans="1:4">
      <c r="A166" s="230" t="s">
        <v>192</v>
      </c>
      <c r="B166" s="173">
        <f>Inputs!B138</f>
        <v>0</v>
      </c>
      <c r="D166" s="187"/>
    </row>
    <row r="167" spans="1:4">
      <c r="A167" s="230" t="s">
        <v>193</v>
      </c>
      <c r="B167" s="173">
        <f>Inputs!B139</f>
        <v>0</v>
      </c>
      <c r="D167" s="187"/>
    </row>
    <row r="168" spans="1:4">
      <c r="A168" s="230" t="s">
        <v>194</v>
      </c>
      <c r="B168" s="173">
        <f>Inputs!B140</f>
        <v>0</v>
      </c>
      <c r="D168" s="187"/>
    </row>
    <row r="169" spans="1:4">
      <c r="A169" s="230" t="s">
        <v>195</v>
      </c>
      <c r="B169" s="173">
        <f>Inputs!B141</f>
        <v>0</v>
      </c>
      <c r="D169" s="187"/>
    </row>
    <row r="170" spans="1:4">
      <c r="A170" s="230" t="s">
        <v>196</v>
      </c>
      <c r="B170" s="173">
        <f>Inputs!B142</f>
        <v>0</v>
      </c>
      <c r="D170" s="187"/>
    </row>
    <row r="171" spans="1:4">
      <c r="A171" s="230" t="s">
        <v>197</v>
      </c>
      <c r="B171" s="173">
        <f>Inputs!B143</f>
        <v>0</v>
      </c>
      <c r="D171" s="187"/>
    </row>
    <row r="172" spans="1:4">
      <c r="A172" s="230" t="s">
        <v>198</v>
      </c>
      <c r="B172" s="173">
        <f>Inputs!B144</f>
        <v>0</v>
      </c>
      <c r="D172" s="187"/>
    </row>
    <row r="173" spans="1:4">
      <c r="A173" s="232" t="s">
        <v>199</v>
      </c>
      <c r="B173" s="175">
        <f>Inputs!B145</f>
        <v>0</v>
      </c>
      <c r="C173" s="162"/>
      <c r="D173" s="188"/>
    </row>
  </sheetData>
  <protectedRanges>
    <protectedRange sqref="A122:A131 B79:D79 A71:D71 B3:B9 A73:D73 A75:D75 A77:D77 A79:A81 B11:B21 B111:B137 B41 B52:B64 B66:B69 A74:C74 A72:C72 A76:C76 A78:C78 B80:C81 A83:C83 A89:C89 A91:C91 A93:C93 A95:C95 A97:C97 A99:C99 A101:C101 A103:C108 B23:B31 B34:B36 B42:B50 B37:B40 B138:B173" name="EditableCells"/>
  </protectedRanges>
  <mergeCells count="8">
    <mergeCell ref="A33:B33"/>
    <mergeCell ref="A37:B37"/>
    <mergeCell ref="A47:B47"/>
    <mergeCell ref="A53:B53"/>
    <mergeCell ref="A1:C1"/>
    <mergeCell ref="A2:B2"/>
    <mergeCell ref="C51:D52"/>
    <mergeCell ref="A31:D31"/>
  </mergeCells>
  <pageMargins left="0.7" right="0.7" top="0.75" bottom="0.75" header="0.3" footer="0.3"/>
  <pageSetup fitToWidth="0" fitToHeight="0" orientation="portrait" r:id="rId1"/>
  <headerFooter>
    <oddHeader>&amp;L&amp;G&amp;CValue-Added Dairy Processing 
Decision Making Tool:  Cheese&amp;R&amp;G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EC0326-5003-49B7-9DA3-4AC48403695F}">
  <sheetPr codeName="Sheet2">
    <tabColor theme="5"/>
    <pageSetUpPr fitToPage="1"/>
  </sheetPr>
  <dimension ref="A1:O226"/>
  <sheetViews>
    <sheetView zoomScaleNormal="100" workbookViewId="0">
      <selection activeCell="B4" sqref="B4"/>
    </sheetView>
  </sheetViews>
  <sheetFormatPr defaultColWidth="8.7109375" defaultRowHeight="18"/>
  <cols>
    <col min="1" max="1" width="40.140625" style="64" bestFit="1" customWidth="1"/>
    <col min="2" max="2" width="25.28515625" style="64" bestFit="1" customWidth="1"/>
    <col min="3" max="3" width="24.42578125" style="64" bestFit="1" customWidth="1"/>
    <col min="4" max="4" width="16.28515625" style="64" bestFit="1" customWidth="1"/>
    <col min="5" max="5" width="29.7109375" style="64" bestFit="1" customWidth="1"/>
    <col min="6" max="6" width="31.5703125" style="64" bestFit="1" customWidth="1"/>
    <col min="7" max="7" width="16.140625" style="64" customWidth="1"/>
    <col min="8" max="10" width="3.85546875" style="83" customWidth="1"/>
    <col min="11" max="11" width="40.140625" style="83" bestFit="1" customWidth="1"/>
    <col min="12" max="12" width="25.28515625" style="83" bestFit="1" customWidth="1"/>
    <col min="13" max="13" width="12.7109375" style="83" bestFit="1" customWidth="1"/>
    <col min="14" max="14" width="97.7109375" style="83" bestFit="1" customWidth="1"/>
    <col min="15" max="15" width="210.7109375" style="83" bestFit="1" customWidth="1"/>
    <col min="16" max="16384" width="8.7109375" style="64"/>
  </cols>
  <sheetData>
    <row r="1" spans="1:10" ht="36">
      <c r="A1" s="93"/>
      <c r="B1" s="103" t="s">
        <v>225</v>
      </c>
      <c r="C1" s="93" t="s">
        <v>226</v>
      </c>
      <c r="D1" s="93" t="s">
        <v>227</v>
      </c>
      <c r="E1" s="147" t="s">
        <v>228</v>
      </c>
      <c r="F1" s="83"/>
      <c r="G1" s="83"/>
      <c r="H1" s="94"/>
      <c r="I1" s="94"/>
      <c r="J1" s="95"/>
    </row>
    <row r="2" spans="1:10">
      <c r="A2" s="142" t="s">
        <v>229</v>
      </c>
      <c r="B2" s="432"/>
      <c r="C2" s="154">
        <f>Equipment!D12/100</f>
        <v>24813.217256673513</v>
      </c>
      <c r="D2" s="155">
        <f>B2/C2</f>
        <v>0</v>
      </c>
      <c r="E2" s="156">
        <v>1.48</v>
      </c>
      <c r="F2" s="83"/>
      <c r="G2" s="83"/>
      <c r="H2" s="94"/>
      <c r="I2" s="94"/>
      <c r="J2" s="96"/>
    </row>
    <row r="3" spans="1:10">
      <c r="A3" s="91" t="s">
        <v>230</v>
      </c>
      <c r="B3" s="433"/>
      <c r="C3" s="159">
        <f>C2</f>
        <v>24813.217256673513</v>
      </c>
      <c r="D3" s="99">
        <f t="shared" ref="D3:D17" si="0">B3/C3</f>
        <v>0</v>
      </c>
      <c r="E3" s="100">
        <v>0.75</v>
      </c>
      <c r="F3" s="83"/>
      <c r="G3" s="83"/>
      <c r="H3" s="94"/>
      <c r="I3" s="94"/>
      <c r="J3" s="96"/>
    </row>
    <row r="4" spans="1:10">
      <c r="A4" s="92" t="s">
        <v>231</v>
      </c>
      <c r="B4" s="434"/>
      <c r="C4" s="157">
        <f>C2</f>
        <v>24813.217256673513</v>
      </c>
      <c r="D4" s="99">
        <f t="shared" si="0"/>
        <v>0</v>
      </c>
      <c r="E4" s="158">
        <v>2.33</v>
      </c>
      <c r="F4" s="83" t="s">
        <v>232</v>
      </c>
      <c r="G4" s="104">
        <f>IF(SUM(B2:B4)=0,SUM(E2:E4),SUM(D2:D4))</f>
        <v>4.5600000000000005</v>
      </c>
      <c r="H4" s="94"/>
      <c r="I4" s="94"/>
      <c r="J4" s="96"/>
    </row>
    <row r="5" spans="1:10">
      <c r="A5" s="142" t="s">
        <v>233</v>
      </c>
      <c r="B5" s="432"/>
      <c r="C5" s="154">
        <f>C2</f>
        <v>24813.217256673513</v>
      </c>
      <c r="D5" s="155">
        <f t="shared" si="0"/>
        <v>0</v>
      </c>
      <c r="E5" s="156">
        <v>0.19</v>
      </c>
      <c r="F5" s="83"/>
      <c r="G5" s="83"/>
      <c r="H5" s="94"/>
      <c r="I5" s="94"/>
      <c r="J5" s="96"/>
    </row>
    <row r="6" spans="1:10">
      <c r="A6" s="91" t="s">
        <v>234</v>
      </c>
      <c r="B6" s="433"/>
      <c r="C6" s="159">
        <f>C2</f>
        <v>24813.217256673513</v>
      </c>
      <c r="D6" s="99">
        <f t="shared" si="0"/>
        <v>0</v>
      </c>
      <c r="E6" s="100">
        <v>2.77</v>
      </c>
      <c r="F6" s="83"/>
      <c r="G6" s="83"/>
      <c r="H6" s="94"/>
      <c r="I6" s="94"/>
      <c r="J6" s="96"/>
    </row>
    <row r="7" spans="1:10">
      <c r="A7" s="91" t="s">
        <v>235</v>
      </c>
      <c r="B7" s="433"/>
      <c r="C7" s="159">
        <f>C2</f>
        <v>24813.217256673513</v>
      </c>
      <c r="D7" s="99">
        <f t="shared" si="0"/>
        <v>0</v>
      </c>
      <c r="E7" s="100">
        <v>1.44</v>
      </c>
      <c r="F7" s="83"/>
      <c r="G7" s="83"/>
      <c r="H7" s="94"/>
      <c r="I7" s="94"/>
      <c r="J7" s="96"/>
    </row>
    <row r="8" spans="1:10">
      <c r="A8" s="91" t="s">
        <v>236</v>
      </c>
      <c r="B8" s="433"/>
      <c r="C8" s="159">
        <f>C2</f>
        <v>24813.217256673513</v>
      </c>
      <c r="D8" s="99">
        <f t="shared" si="0"/>
        <v>0</v>
      </c>
      <c r="E8" s="100">
        <v>1.69</v>
      </c>
      <c r="F8" s="83"/>
      <c r="G8" s="83"/>
      <c r="H8" s="94"/>
      <c r="I8" s="94"/>
      <c r="J8" s="96"/>
    </row>
    <row r="9" spans="1:10">
      <c r="A9" s="91" t="s">
        <v>237</v>
      </c>
      <c r="B9" s="433"/>
      <c r="C9" s="159">
        <f>C2</f>
        <v>24813.217256673513</v>
      </c>
      <c r="D9" s="99">
        <f t="shared" si="0"/>
        <v>0</v>
      </c>
      <c r="E9" s="100">
        <v>1.87</v>
      </c>
      <c r="F9" s="83"/>
      <c r="G9" s="83"/>
      <c r="H9" s="94"/>
      <c r="I9" s="94"/>
      <c r="J9" s="96"/>
    </row>
    <row r="10" spans="1:10">
      <c r="A10" s="91" t="s">
        <v>238</v>
      </c>
      <c r="B10" s="433"/>
      <c r="C10" s="159">
        <f>C2</f>
        <v>24813.217256673513</v>
      </c>
      <c r="D10" s="99">
        <f t="shared" si="0"/>
        <v>0</v>
      </c>
      <c r="E10" s="100">
        <v>2.08</v>
      </c>
      <c r="F10" s="83"/>
      <c r="G10" s="83"/>
      <c r="H10" s="94"/>
      <c r="I10" s="94"/>
      <c r="J10" s="96"/>
    </row>
    <row r="11" spans="1:10">
      <c r="A11" s="91" t="s">
        <v>239</v>
      </c>
      <c r="B11" s="433"/>
      <c r="C11" s="159">
        <f>C2</f>
        <v>24813.217256673513</v>
      </c>
      <c r="D11" s="99">
        <f t="shared" si="0"/>
        <v>0</v>
      </c>
      <c r="E11" s="100">
        <v>0.47</v>
      </c>
      <c r="F11" s="83"/>
      <c r="G11" s="83"/>
      <c r="H11" s="94"/>
      <c r="I11" s="94"/>
      <c r="J11" s="96"/>
    </row>
    <row r="12" spans="1:10">
      <c r="A12" s="91" t="s">
        <v>240</v>
      </c>
      <c r="B12" s="433"/>
      <c r="C12" s="159">
        <f>C2</f>
        <v>24813.217256673513</v>
      </c>
      <c r="D12" s="99">
        <f t="shared" si="0"/>
        <v>0</v>
      </c>
      <c r="E12" s="100">
        <v>0.19</v>
      </c>
      <c r="F12" s="83"/>
      <c r="G12" s="83"/>
      <c r="H12" s="94"/>
      <c r="I12" s="94"/>
      <c r="J12" s="96"/>
    </row>
    <row r="13" spans="1:10">
      <c r="A13" s="91" t="s">
        <v>241</v>
      </c>
      <c r="B13" s="433"/>
      <c r="C13" s="159">
        <f>C2</f>
        <v>24813.217256673513</v>
      </c>
      <c r="D13" s="99">
        <f t="shared" si="0"/>
        <v>0</v>
      </c>
      <c r="E13" s="100">
        <v>0.28999999999999998</v>
      </c>
      <c r="F13" s="83"/>
      <c r="G13" s="83"/>
      <c r="H13" s="94"/>
      <c r="I13" s="94"/>
      <c r="J13" s="96"/>
    </row>
    <row r="14" spans="1:10">
      <c r="A14" s="91" t="s">
        <v>242</v>
      </c>
      <c r="B14" s="433"/>
      <c r="C14" s="159">
        <f>C2</f>
        <v>24813.217256673513</v>
      </c>
      <c r="D14" s="99">
        <f t="shared" si="0"/>
        <v>0</v>
      </c>
      <c r="E14" s="100">
        <v>0.11</v>
      </c>
      <c r="F14" s="83"/>
      <c r="G14" s="83"/>
      <c r="H14" s="94"/>
      <c r="I14" s="94"/>
      <c r="J14" s="96"/>
    </row>
    <row r="15" spans="1:10">
      <c r="A15" s="91" t="s">
        <v>243</v>
      </c>
      <c r="B15" s="433"/>
      <c r="C15" s="159">
        <f>C2</f>
        <v>24813.217256673513</v>
      </c>
      <c r="D15" s="99">
        <f t="shared" si="0"/>
        <v>0</v>
      </c>
      <c r="E15" s="100">
        <v>0</v>
      </c>
      <c r="F15" s="83"/>
      <c r="G15" s="83"/>
      <c r="H15" s="93"/>
      <c r="I15" s="93"/>
      <c r="J15" s="89"/>
    </row>
    <row r="16" spans="1:10">
      <c r="A16" s="91" t="s">
        <v>244</v>
      </c>
      <c r="B16" s="433"/>
      <c r="C16" s="159">
        <f>C2</f>
        <v>24813.217256673513</v>
      </c>
      <c r="D16" s="99">
        <f t="shared" si="0"/>
        <v>0</v>
      </c>
      <c r="E16" s="100">
        <v>0</v>
      </c>
      <c r="F16" s="83"/>
      <c r="G16" s="83"/>
      <c r="I16" s="93"/>
      <c r="J16" s="89"/>
    </row>
    <row r="17" spans="1:7">
      <c r="A17" s="92" t="s">
        <v>245</v>
      </c>
      <c r="B17" s="434"/>
      <c r="C17" s="157">
        <f>C2</f>
        <v>24813.217256673513</v>
      </c>
      <c r="D17" s="102">
        <f t="shared" si="0"/>
        <v>0</v>
      </c>
      <c r="E17" s="158">
        <v>0</v>
      </c>
      <c r="F17" s="83" t="s">
        <v>246</v>
      </c>
      <c r="G17" s="104">
        <f>IF(SUM(B5:B17)=0,SUM(E5:E17),SUM(D5:D17))</f>
        <v>11.099999999999998</v>
      </c>
    </row>
    <row r="18" spans="1:7">
      <c r="A18" s="83"/>
      <c r="B18" s="427"/>
      <c r="C18" s="435"/>
      <c r="D18" s="99"/>
      <c r="E18" s="99"/>
      <c r="F18" s="83"/>
      <c r="G18" s="101"/>
    </row>
    <row r="19" spans="1:7">
      <c r="A19" s="83"/>
      <c r="B19" s="427"/>
      <c r="C19" s="435"/>
      <c r="D19" s="99"/>
      <c r="E19" s="99"/>
      <c r="F19" s="83"/>
      <c r="G19" s="101"/>
    </row>
    <row r="20" spans="1:7">
      <c r="A20" s="83"/>
      <c r="B20" s="427"/>
      <c r="C20" s="435"/>
      <c r="D20" s="99"/>
      <c r="E20" s="99"/>
      <c r="F20" s="83"/>
      <c r="G20" s="101"/>
    </row>
    <row r="21" spans="1:7">
      <c r="A21" s="83"/>
      <c r="B21" s="427"/>
      <c r="C21" s="435"/>
      <c r="D21" s="99"/>
      <c r="E21" s="99"/>
      <c r="F21" s="83"/>
      <c r="G21" s="101"/>
    </row>
    <row r="22" spans="1:7">
      <c r="A22" s="83"/>
      <c r="B22" s="83"/>
      <c r="C22" s="159"/>
      <c r="D22" s="99"/>
      <c r="E22" s="99"/>
      <c r="F22" s="83"/>
      <c r="G22" s="101"/>
    </row>
    <row r="23" spans="1:7">
      <c r="A23" s="83"/>
      <c r="B23" s="83"/>
      <c r="C23" s="159"/>
      <c r="D23" s="99"/>
      <c r="E23" s="99"/>
      <c r="F23" s="83"/>
      <c r="G23" s="101"/>
    </row>
    <row r="24" spans="1:7" s="301" customFormat="1">
      <c r="A24" s="572" t="s">
        <v>247</v>
      </c>
      <c r="B24" s="572"/>
      <c r="C24" s="572"/>
      <c r="D24" s="572"/>
      <c r="E24" s="572"/>
    </row>
    <row r="25" spans="1:7" s="301" customFormat="1">
      <c r="A25" s="301" t="s">
        <v>248</v>
      </c>
      <c r="B25" s="302">
        <f>23.751*((NPV_New!$V$91)^(0.3866))</f>
        <v>2892.4534455960052</v>
      </c>
      <c r="C25" s="301" t="s">
        <v>249</v>
      </c>
      <c r="E25" s="571"/>
      <c r="F25" s="571"/>
      <c r="G25" s="571"/>
    </row>
    <row r="26" spans="1:7" s="301" customFormat="1">
      <c r="A26" s="301" t="s">
        <v>250</v>
      </c>
      <c r="B26" s="304">
        <f>0.0535*(NPV_New!$V$90)</f>
        <v>132.75071232320332</v>
      </c>
      <c r="C26" s="301" t="s">
        <v>251</v>
      </c>
      <c r="E26" s="303"/>
      <c r="F26" s="303"/>
      <c r="G26" s="303"/>
    </row>
    <row r="27" spans="1:7" s="301" customFormat="1">
      <c r="A27" s="301" t="s">
        <v>252</v>
      </c>
      <c r="B27" s="305">
        <f>((26.805*B26)*((1+0.037)^10))+24074</f>
        <v>29191.29242932847</v>
      </c>
      <c r="C27" s="301" t="s">
        <v>253</v>
      </c>
      <c r="E27" s="303"/>
      <c r="F27" s="303"/>
      <c r="G27" s="303"/>
    </row>
    <row r="28" spans="1:7" s="301" customFormat="1">
      <c r="D28" s="306"/>
      <c r="F28" s="307"/>
      <c r="G28" s="307"/>
    </row>
    <row r="29" spans="1:7" s="301" customFormat="1">
      <c r="A29" s="306"/>
      <c r="B29" s="307" t="s">
        <v>254</v>
      </c>
      <c r="E29" s="307"/>
      <c r="F29" s="307"/>
    </row>
    <row r="30" spans="1:7" s="301" customFormat="1">
      <c r="A30" s="306" t="s">
        <v>255</v>
      </c>
      <c r="B30" s="307">
        <v>150</v>
      </c>
      <c r="C30" s="307"/>
      <c r="D30" s="306"/>
      <c r="E30" s="307"/>
      <c r="F30" s="307"/>
    </row>
    <row r="31" spans="1:7" s="301" customFormat="1">
      <c r="A31" s="308" t="s">
        <v>256</v>
      </c>
      <c r="B31" s="309">
        <v>104</v>
      </c>
      <c r="C31" s="307"/>
      <c r="D31" s="306"/>
      <c r="E31" s="307"/>
      <c r="F31" s="307"/>
    </row>
    <row r="32" spans="1:7" s="301" customFormat="1">
      <c r="A32" s="310" t="s">
        <v>257</v>
      </c>
      <c r="B32" s="311">
        <f>53.80461</f>
        <v>53.804609999999997</v>
      </c>
      <c r="C32" s="307"/>
      <c r="D32" s="307"/>
    </row>
    <row r="33" spans="1:4" s="301" customFormat="1">
      <c r="A33" s="306" t="s">
        <v>258</v>
      </c>
      <c r="B33" s="307">
        <f>B32*4827</f>
        <v>259714.85246999998</v>
      </c>
      <c r="C33" s="307"/>
      <c r="D33" s="307"/>
    </row>
    <row r="34" spans="1:4" s="301" customFormat="1">
      <c r="A34" s="306"/>
      <c r="B34" s="307"/>
      <c r="C34" s="307"/>
      <c r="D34" s="307"/>
    </row>
    <row r="35" spans="1:4" s="301" customFormat="1">
      <c r="A35" s="306" t="s">
        <v>259</v>
      </c>
      <c r="B35" s="307"/>
      <c r="C35" s="308"/>
      <c r="D35" s="307"/>
    </row>
    <row r="36" spans="1:4" s="301" customFormat="1">
      <c r="A36" s="312" t="s">
        <v>260</v>
      </c>
      <c r="B36" s="307">
        <f>450000/7000</f>
        <v>64.285714285714292</v>
      </c>
      <c r="C36" s="307"/>
      <c r="D36" s="307"/>
    </row>
    <row r="37" spans="1:4" s="301" customFormat="1">
      <c r="A37" s="313" t="s">
        <v>261</v>
      </c>
      <c r="B37" s="306">
        <f>950000/15400</f>
        <v>61.688311688311686</v>
      </c>
      <c r="C37" s="307"/>
      <c r="D37" s="307"/>
    </row>
    <row r="38" spans="1:4" s="301" customFormat="1" ht="20.25" customHeight="1">
      <c r="C38" s="307"/>
      <c r="D38" s="307"/>
    </row>
    <row r="39" spans="1:4" s="301" customFormat="1">
      <c r="C39" s="307"/>
      <c r="D39" s="307"/>
    </row>
    <row r="40" spans="1:4" s="83" customFormat="1">
      <c r="C40" s="98"/>
      <c r="D40" s="98"/>
    </row>
    <row r="41" spans="1:4" s="83" customFormat="1"/>
    <row r="42" spans="1:4" s="83" customFormat="1"/>
    <row r="43" spans="1:4" s="83" customFormat="1">
      <c r="B43" s="97"/>
    </row>
    <row r="44" spans="1:4" s="83" customFormat="1">
      <c r="B44" s="97"/>
    </row>
    <row r="45" spans="1:4" s="83" customFormat="1">
      <c r="B45" s="97"/>
    </row>
    <row r="46" spans="1:4" s="83" customFormat="1"/>
    <row r="47" spans="1:4" s="83" customFormat="1"/>
    <row r="48" spans="1:4" s="83" customFormat="1"/>
    <row r="49" s="83" customFormat="1"/>
    <row r="50" s="83" customFormat="1"/>
    <row r="51" s="83" customFormat="1"/>
    <row r="52" s="83" customFormat="1"/>
    <row r="53" s="83" customFormat="1"/>
    <row r="54" s="83" customFormat="1"/>
    <row r="55" s="83" customFormat="1"/>
    <row r="56" s="83" customFormat="1"/>
    <row r="57" s="83" customFormat="1"/>
    <row r="58" s="83" customFormat="1"/>
    <row r="59" s="83" customFormat="1"/>
    <row r="60" s="83" customFormat="1"/>
    <row r="61" s="83" customFormat="1"/>
    <row r="62" s="83" customFormat="1"/>
    <row r="63" s="83" customFormat="1"/>
    <row r="64" s="83" customFormat="1"/>
    <row r="65" s="83" customFormat="1"/>
    <row r="66" s="83" customFormat="1"/>
    <row r="67" s="83" customFormat="1"/>
    <row r="68" s="83" customFormat="1"/>
    <row r="69" s="83" customFormat="1"/>
    <row r="70" s="83" customFormat="1"/>
    <row r="71" s="83" customFormat="1"/>
    <row r="72" s="83" customFormat="1"/>
    <row r="73" s="83" customFormat="1"/>
    <row r="74" s="83" customFormat="1"/>
    <row r="75" s="83" customFormat="1"/>
    <row r="76" s="83" customFormat="1"/>
    <row r="77" s="83" customFormat="1"/>
    <row r="78" s="83" customFormat="1"/>
    <row r="79" s="83" customFormat="1"/>
    <row r="80" s="83" customFormat="1"/>
    <row r="81" s="83" customFormat="1"/>
    <row r="82" s="83" customFormat="1"/>
    <row r="83" s="83" customFormat="1"/>
    <row r="84" s="83" customFormat="1"/>
    <row r="85" s="83" customFormat="1"/>
    <row r="86" s="83" customFormat="1"/>
    <row r="87" s="83" customFormat="1"/>
    <row r="88" s="83" customFormat="1"/>
    <row r="89" s="83" customFormat="1"/>
    <row r="90" s="83" customFormat="1"/>
    <row r="91" s="83" customFormat="1"/>
    <row r="92" s="83" customFormat="1"/>
    <row r="93" s="83" customFormat="1"/>
    <row r="94" s="83" customFormat="1"/>
    <row r="95" s="83" customFormat="1"/>
    <row r="96" s="83" customFormat="1"/>
    <row r="97" s="83" customFormat="1"/>
    <row r="98" s="83" customFormat="1"/>
    <row r="99" s="83" customFormat="1"/>
    <row r="100" s="83" customFormat="1"/>
    <row r="101" s="83" customFormat="1"/>
    <row r="102" s="83" customFormat="1"/>
    <row r="103" s="83" customFormat="1"/>
    <row r="104" s="83" customFormat="1"/>
    <row r="105" s="83" customFormat="1"/>
    <row r="106" s="83" customFormat="1"/>
    <row r="107" s="83" customFormat="1"/>
    <row r="108" s="83" customFormat="1"/>
    <row r="109" s="83" customFormat="1"/>
    <row r="110" s="83" customFormat="1"/>
    <row r="111" s="83" customFormat="1"/>
    <row r="112" s="83" customFormat="1"/>
    <row r="113" s="83" customFormat="1"/>
    <row r="114" s="83" customFormat="1"/>
    <row r="115" s="83" customFormat="1"/>
    <row r="116" s="83" customFormat="1"/>
    <row r="117" s="83" customFormat="1"/>
    <row r="118" s="83" customFormat="1"/>
    <row r="119" s="83" customFormat="1"/>
    <row r="120" s="83" customFormat="1"/>
    <row r="121" s="83" customFormat="1"/>
    <row r="122" s="83" customFormat="1"/>
    <row r="123" s="83" customFormat="1"/>
    <row r="124" s="83" customFormat="1"/>
    <row r="125" s="83" customFormat="1"/>
    <row r="126" s="83" customFormat="1"/>
    <row r="127" s="83" customFormat="1"/>
    <row r="128" s="83" customFormat="1"/>
    <row r="129" s="83" customFormat="1"/>
    <row r="130" s="83" customFormat="1"/>
    <row r="131" s="83" customFormat="1"/>
    <row r="132" s="83" customFormat="1"/>
    <row r="133" s="83" customFormat="1"/>
    <row r="134" s="83" customFormat="1"/>
    <row r="135" s="83" customFormat="1"/>
    <row r="136" s="83" customFormat="1"/>
    <row r="137" s="83" customFormat="1"/>
    <row r="138" s="83" customFormat="1"/>
    <row r="139" s="83" customFormat="1"/>
    <row r="140" s="83" customFormat="1"/>
    <row r="141" s="83" customFormat="1"/>
    <row r="142" s="83" customFormat="1"/>
    <row r="143" s="83" customFormat="1"/>
    <row r="144" s="83" customFormat="1"/>
    <row r="145" s="83" customFormat="1"/>
    <row r="146" s="83" customFormat="1"/>
    <row r="147" s="83" customFormat="1"/>
    <row r="148" s="83" customFormat="1"/>
    <row r="149" s="83" customFormat="1"/>
    <row r="150" s="83" customFormat="1"/>
    <row r="151" s="83" customFormat="1"/>
    <row r="152" s="83" customFormat="1"/>
    <row r="153" s="83" customFormat="1"/>
    <row r="154" s="83" customFormat="1"/>
    <row r="155" s="83" customFormat="1"/>
    <row r="156" s="83" customFormat="1"/>
    <row r="157" s="83" customFormat="1"/>
    <row r="158" s="83" customFormat="1"/>
    <row r="159" s="83" customFormat="1"/>
    <row r="160" s="83" customFormat="1"/>
    <row r="161" s="83" customFormat="1"/>
    <row r="162" s="83" customFormat="1"/>
    <row r="163" s="83" customFormat="1"/>
    <row r="164" s="83" customFormat="1"/>
    <row r="165" s="83" customFormat="1"/>
    <row r="166" s="83" customFormat="1"/>
    <row r="167" s="83" customFormat="1"/>
    <row r="168" s="83" customFormat="1"/>
    <row r="169" s="83" customFormat="1"/>
    <row r="170" s="83" customFormat="1"/>
    <row r="171" s="83" customFormat="1"/>
    <row r="172" s="83" customFormat="1"/>
    <row r="173" s="83" customFormat="1"/>
    <row r="174" s="83" customFormat="1"/>
    <row r="175" s="83" customFormat="1"/>
    <row r="176" s="83" customFormat="1"/>
    <row r="177" s="83" customFormat="1"/>
    <row r="178" s="83" customFormat="1"/>
    <row r="179" s="83" customFormat="1"/>
    <row r="180" s="83" customFormat="1"/>
    <row r="181" s="83" customFormat="1"/>
    <row r="182" s="83" customFormat="1"/>
    <row r="183" s="83" customFormat="1"/>
    <row r="184" s="83" customFormat="1"/>
    <row r="185" s="83" customFormat="1"/>
    <row r="186" s="83" customFormat="1"/>
    <row r="187" s="83" customFormat="1"/>
    <row r="188" s="83" customFormat="1"/>
    <row r="189" s="83" customFormat="1"/>
    <row r="190" s="83" customFormat="1"/>
    <row r="191" s="83" customFormat="1"/>
    <row r="192" s="83" customFormat="1"/>
    <row r="193" s="83" customFormat="1"/>
    <row r="194" s="83" customFormat="1"/>
    <row r="195" s="83" customFormat="1"/>
    <row r="196" s="83" customFormat="1"/>
    <row r="197" s="83" customFormat="1"/>
    <row r="198" s="83" customFormat="1"/>
    <row r="199" s="83" customFormat="1"/>
    <row r="200" s="83" customFormat="1"/>
    <row r="201" s="83" customFormat="1"/>
    <row r="202" s="83" customFormat="1"/>
    <row r="203" s="83" customFormat="1"/>
    <row r="204" s="83" customFormat="1"/>
    <row r="205" s="83" customFormat="1"/>
    <row r="206" s="83" customFormat="1"/>
    <row r="207" s="83" customFormat="1"/>
    <row r="208" s="83" customFormat="1"/>
    <row r="209" s="83" customFormat="1"/>
    <row r="210" s="83" customFormat="1"/>
    <row r="211" s="83" customFormat="1"/>
    <row r="212" s="83" customFormat="1"/>
    <row r="213" s="83" customFormat="1"/>
    <row r="214" s="83" customFormat="1"/>
    <row r="215" s="83" customFormat="1"/>
    <row r="216" s="83" customFormat="1"/>
    <row r="217" s="83" customFormat="1"/>
    <row r="218" s="83" customFormat="1"/>
    <row r="219" s="83" customFormat="1"/>
    <row r="220" s="83" customFormat="1"/>
    <row r="221" s="83" customFormat="1"/>
    <row r="222" s="83" customFormat="1"/>
    <row r="223" s="83" customFormat="1"/>
    <row r="224" s="83" customFormat="1"/>
    <row r="225" s="83" customFormat="1"/>
    <row r="226" s="83" customFormat="1"/>
  </sheetData>
  <sheetProtection algorithmName="SHA-512" hashValue="hgMC6UVpuIGyZCleugRx0dyFwkSMkTZoFLPJhw2KR2T9gid7xL17e7fCQQjSVK8HCjAr9dE6tqNlOA84TZhGQA==" saltValue="8rJdWEcyrzygLo5G4ZNeJw==" spinCount="100000" sheet="1" objects="1" scenarios="1" selectLockedCells="1"/>
  <mergeCells count="2">
    <mergeCell ref="E25:G25"/>
    <mergeCell ref="A24:E24"/>
  </mergeCells>
  <pageMargins left="0.7" right="0.7" top="0.75" bottom="0.75" header="0.3" footer="0.3"/>
  <pageSetup scale="66" fitToHeight="0" orientation="landscape"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BB1146-BB0D-402A-A9D5-518CB21018DD}">
  <sheetPr codeName="Sheet6">
    <tabColor theme="9"/>
  </sheetPr>
  <dimension ref="A1:H45"/>
  <sheetViews>
    <sheetView topLeftCell="A13" zoomScale="90" zoomScaleNormal="90" workbookViewId="0">
      <selection sqref="A1:F4"/>
    </sheetView>
  </sheetViews>
  <sheetFormatPr defaultColWidth="8.85546875" defaultRowHeight="14.45"/>
  <cols>
    <col min="1" max="1" width="29.140625" style="22" customWidth="1"/>
    <col min="2" max="2" width="23.42578125" style="22" bestFit="1" customWidth="1"/>
    <col min="3" max="3" width="43.7109375" style="22" customWidth="1"/>
    <col min="4" max="4" width="84.140625" style="22" customWidth="1"/>
    <col min="5" max="5" width="74" style="22" customWidth="1"/>
    <col min="6" max="6" width="38.7109375" style="22" customWidth="1"/>
    <col min="7" max="7" width="31" style="22" bestFit="1" customWidth="1"/>
    <col min="8" max="8" width="17.28515625" style="22" bestFit="1" customWidth="1"/>
    <col min="9" max="16384" width="8.85546875" style="22"/>
  </cols>
  <sheetData>
    <row r="1" spans="1:8" ht="15" customHeight="1">
      <c r="A1" s="573" t="s">
        <v>262</v>
      </c>
      <c r="B1" s="573"/>
      <c r="C1" s="573"/>
      <c r="D1" s="573"/>
      <c r="E1" s="573"/>
      <c r="F1" s="573"/>
    </row>
    <row r="2" spans="1:8" ht="15" customHeight="1">
      <c r="A2" s="573"/>
      <c r="B2" s="573"/>
      <c r="C2" s="573"/>
      <c r="D2" s="573"/>
      <c r="E2" s="573"/>
      <c r="F2" s="573"/>
    </row>
    <row r="3" spans="1:8" ht="15" customHeight="1">
      <c r="A3" s="573"/>
      <c r="B3" s="573"/>
      <c r="C3" s="573"/>
      <c r="D3" s="573"/>
      <c r="E3" s="573"/>
      <c r="F3" s="573"/>
    </row>
    <row r="4" spans="1:8" ht="15" customHeight="1">
      <c r="A4" s="573"/>
      <c r="B4" s="573"/>
      <c r="C4" s="573"/>
      <c r="D4" s="573"/>
      <c r="E4" s="573"/>
      <c r="F4" s="573"/>
    </row>
    <row r="6" spans="1:8" ht="18">
      <c r="A6" s="574" t="s">
        <v>263</v>
      </c>
      <c r="B6" s="574"/>
      <c r="C6" s="574"/>
      <c r="D6" s="83"/>
      <c r="E6" s="83"/>
      <c r="F6" s="83"/>
    </row>
    <row r="7" spans="1:8" ht="18">
      <c r="A7" s="436" t="s">
        <v>264</v>
      </c>
      <c r="B7" s="575" t="s">
        <v>265</v>
      </c>
      <c r="C7" s="575"/>
      <c r="D7" s="437"/>
      <c r="E7" s="438"/>
      <c r="F7" s="83"/>
      <c r="G7" s="83"/>
    </row>
    <row r="8" spans="1:8" ht="18">
      <c r="A8" s="439" t="s">
        <v>42</v>
      </c>
      <c r="B8" s="576">
        <f>NPV_New!K$158</f>
        <v>679.34886397463424</v>
      </c>
      <c r="C8" s="576"/>
      <c r="D8" s="153"/>
      <c r="E8" s="83"/>
      <c r="F8" s="83"/>
      <c r="G8" s="83"/>
      <c r="H8" s="83"/>
    </row>
    <row r="9" spans="1:8" ht="18">
      <c r="A9" s="439" t="s">
        <v>45</v>
      </c>
      <c r="B9" s="576">
        <f>NPV_New!L$158</f>
        <v>0</v>
      </c>
      <c r="C9" s="576"/>
      <c r="D9" s="153"/>
      <c r="E9" s="83"/>
      <c r="F9" s="83"/>
      <c r="G9" s="83"/>
      <c r="H9" s="83"/>
    </row>
    <row r="10" spans="1:8" ht="18">
      <c r="A10" s="439" t="s">
        <v>48</v>
      </c>
      <c r="B10" s="576">
        <f>NPV_New!M$158</f>
        <v>0</v>
      </c>
      <c r="C10" s="576"/>
      <c r="D10" s="153"/>
      <c r="E10" s="89"/>
      <c r="F10" s="83"/>
      <c r="G10" s="83"/>
      <c r="H10" s="83"/>
    </row>
    <row r="11" spans="1:8" ht="18">
      <c r="A11" s="439" t="s">
        <v>52</v>
      </c>
      <c r="B11" s="576">
        <f>NPV_New!N$158</f>
        <v>0</v>
      </c>
      <c r="C11" s="576"/>
      <c r="D11" s="153"/>
      <c r="E11" s="83"/>
      <c r="F11" s="83"/>
      <c r="G11" s="83"/>
      <c r="H11" s="83"/>
    </row>
    <row r="12" spans="1:8" ht="18">
      <c r="A12" s="439" t="s">
        <v>55</v>
      </c>
      <c r="B12" s="576">
        <f>NPV_New!O$158</f>
        <v>0</v>
      </c>
      <c r="C12" s="576"/>
      <c r="D12" s="153"/>
      <c r="E12" s="83"/>
      <c r="F12" s="83"/>
      <c r="G12" s="83"/>
      <c r="H12" s="83"/>
    </row>
    <row r="13" spans="1:8" ht="18">
      <c r="A13" s="439" t="s">
        <v>58</v>
      </c>
      <c r="B13" s="576">
        <f>NPV_New!P$158</f>
        <v>0</v>
      </c>
      <c r="C13" s="576"/>
      <c r="D13" s="153"/>
      <c r="E13" s="83"/>
      <c r="F13" s="83"/>
      <c r="G13" s="83"/>
      <c r="H13" s="83"/>
    </row>
    <row r="14" spans="1:8" ht="18">
      <c r="A14" s="439" t="s">
        <v>61</v>
      </c>
      <c r="B14" s="576">
        <f>NPV_New!Q$158</f>
        <v>0</v>
      </c>
      <c r="C14" s="576"/>
      <c r="D14" s="153"/>
      <c r="E14" s="83"/>
      <c r="F14" s="83"/>
      <c r="G14" s="83"/>
      <c r="H14" s="83"/>
    </row>
    <row r="15" spans="1:8" ht="18">
      <c r="A15" s="439" t="s">
        <v>64</v>
      </c>
      <c r="B15" s="576">
        <f>NPV_New!R$158</f>
        <v>0</v>
      </c>
      <c r="C15" s="576"/>
      <c r="D15" s="153"/>
      <c r="E15" s="83"/>
      <c r="F15" s="83"/>
      <c r="G15" s="83"/>
      <c r="H15" s="83"/>
    </row>
    <row r="16" spans="1:8" ht="18">
      <c r="A16" s="439" t="s">
        <v>67</v>
      </c>
      <c r="B16" s="576">
        <f>NPV_New!S$158</f>
        <v>0</v>
      </c>
      <c r="C16" s="576"/>
      <c r="D16" s="153"/>
      <c r="E16" s="83"/>
      <c r="F16" s="83"/>
      <c r="G16" s="83"/>
      <c r="H16" s="83"/>
    </row>
    <row r="17" spans="1:8" ht="18">
      <c r="A17" s="439" t="s">
        <v>69</v>
      </c>
      <c r="B17" s="576">
        <f>NPV_New!T$158</f>
        <v>0</v>
      </c>
      <c r="C17" s="576"/>
      <c r="D17" s="153"/>
      <c r="E17" s="83"/>
      <c r="F17" s="83"/>
      <c r="G17" s="83"/>
      <c r="H17" s="83"/>
    </row>
    <row r="18" spans="1:8" ht="18">
      <c r="A18" s="439" t="s">
        <v>70</v>
      </c>
      <c r="B18" s="576">
        <f>NPV_New!U$158</f>
        <v>0</v>
      </c>
      <c r="C18" s="576"/>
      <c r="D18" s="153"/>
      <c r="E18" s="83"/>
      <c r="F18" s="83"/>
      <c r="G18" s="83"/>
      <c r="H18" s="83"/>
    </row>
    <row r="19" spans="1:8" ht="18">
      <c r="A19" s="83"/>
      <c r="B19" s="83"/>
      <c r="C19" s="83"/>
      <c r="D19" s="83"/>
      <c r="E19" s="83"/>
      <c r="F19" s="83"/>
      <c r="G19" s="83"/>
    </row>
    <row r="20" spans="1:8" ht="18.75" customHeight="1">
      <c r="A20" s="577" t="s">
        <v>266</v>
      </c>
      <c r="B20" s="577"/>
      <c r="C20" s="577"/>
      <c r="D20" s="577"/>
      <c r="E20" s="577"/>
      <c r="F20" s="577"/>
    </row>
    <row r="21" spans="1:8" ht="18">
      <c r="A21" s="440" t="s">
        <v>267</v>
      </c>
      <c r="B21" s="440" t="s">
        <v>268</v>
      </c>
      <c r="C21" s="440" t="s">
        <v>269</v>
      </c>
      <c r="D21" s="440" t="s">
        <v>270</v>
      </c>
      <c r="E21" s="440" t="s">
        <v>271</v>
      </c>
      <c r="F21" s="440" t="s">
        <v>272</v>
      </c>
    </row>
    <row r="22" spans="1:8" ht="18">
      <c r="A22" s="88">
        <f>IFERROR(MAX('Suggested Equipment'!E13:E29),Equipment!$T$15)</f>
        <v>0</v>
      </c>
      <c r="B22" s="441" t="str">
        <f>IFERROR(INDEX('Suggested Equipment'!$F$13:$F$29,MATCH(A22,'Suggested Equipment'!E13:E29,0)),Equipment!$T$15)</f>
        <v>No Reported Values</v>
      </c>
      <c r="C22" s="441" t="str">
        <f>IFERROR(INDEX('Suggested Equipment'!$G$13:$G$29,MATCH(A22,'Suggested Equipment'!$E$13:$E$29,0)),Equipment!$T$15)</f>
        <v>No Reported Values</v>
      </c>
      <c r="D22" s="316" t="str">
        <f>IFERROR(INDEX('Suggested Equipment'!$B$13:$B$29, MATCH(MAX('Suggested Equipment'!$E$13:$E$29), 'Suggested Equipment'!$E$13:$E$29, 0)),Equipment!$T$15)</f>
        <v>No Reported Values</v>
      </c>
      <c r="E22" s="442" t="str">
        <f>IFERROR(INDEX(Equipment!L21:L162, MATCH(Outputs!D22, Equipment!$A$21:$A$162, 0)),Equipment!$T$15)</f>
        <v>No Reported Values</v>
      </c>
      <c r="F22" s="88" t="str">
        <f>IFERROR((Equipment!$B$12/Outputs!E22),Equipment!$T$15)</f>
        <v>No Reported Values</v>
      </c>
      <c r="G22" s="87"/>
    </row>
    <row r="23" spans="1:8" ht="18.600000000000001" thickBot="1">
      <c r="A23" s="83"/>
      <c r="B23" s="83"/>
      <c r="C23" s="83"/>
      <c r="D23" s="83"/>
      <c r="E23" s="83"/>
      <c r="F23" s="83"/>
      <c r="G23" s="83"/>
    </row>
    <row r="24" spans="1:8" ht="30.6" customHeight="1" thickBot="1">
      <c r="A24" s="578" t="str">
        <f>"To process "&amp;TEXT(Inputs!B10,"0%")&amp;" of your herd's milk, you need to process "&amp;TEXT(Equipment!B12,"#,##0")&amp;" pounds per day."</f>
        <v>To process 49% of your herd's milk, you need to process 6,793 pounds per day.</v>
      </c>
      <c r="B24" s="579"/>
      <c r="C24" s="579"/>
      <c r="D24" s="579"/>
      <c r="E24" s="579"/>
      <c r="F24" s="580"/>
    </row>
    <row r="27" spans="1:8" ht="23.25" customHeight="1">
      <c r="A27" s="443"/>
      <c r="B27" s="573" t="s">
        <v>273</v>
      </c>
      <c r="C27" s="573"/>
      <c r="D27" s="573"/>
      <c r="E27" s="573"/>
      <c r="F27" s="444"/>
    </row>
    <row r="28" spans="1:8" ht="23.45">
      <c r="A28" s="443"/>
      <c r="B28" s="573"/>
      <c r="C28" s="573"/>
      <c r="D28" s="573"/>
      <c r="E28" s="573"/>
      <c r="F28" s="444"/>
    </row>
    <row r="29" spans="1:8" ht="23.45">
      <c r="A29" s="443"/>
      <c r="B29" s="573"/>
      <c r="C29" s="573"/>
      <c r="D29" s="573"/>
      <c r="E29" s="573"/>
      <c r="F29" s="444"/>
    </row>
    <row r="30" spans="1:8" ht="18">
      <c r="A30" s="445"/>
      <c r="B30" s="445"/>
      <c r="C30" s="86"/>
      <c r="D30" s="84"/>
      <c r="E30" s="84"/>
      <c r="F30" s="447"/>
    </row>
    <row r="31" spans="1:8" ht="23.45">
      <c r="A31" s="443"/>
      <c r="B31" s="443"/>
      <c r="C31" s="85"/>
      <c r="D31" s="85"/>
      <c r="E31" s="85"/>
      <c r="F31" s="443"/>
    </row>
    <row r="32" spans="1:8" ht="18">
      <c r="A32" s="446"/>
      <c r="B32" s="446"/>
      <c r="C32" s="84"/>
      <c r="D32" s="84"/>
      <c r="E32" s="84"/>
      <c r="F32" s="447"/>
    </row>
    <row r="33" spans="1:6" ht="18">
      <c r="A33" s="446"/>
      <c r="B33" s="446"/>
      <c r="C33" s="446"/>
      <c r="D33" s="446"/>
      <c r="E33" s="446"/>
      <c r="F33" s="447"/>
    </row>
    <row r="34" spans="1:6" ht="18" customHeight="1">
      <c r="A34" s="573" t="s">
        <v>274</v>
      </c>
      <c r="B34" s="573"/>
      <c r="C34" s="573"/>
      <c r="D34" s="573"/>
      <c r="E34" s="573"/>
      <c r="F34" s="573"/>
    </row>
    <row r="35" spans="1:6" ht="18" customHeight="1">
      <c r="A35" s="573"/>
      <c r="B35" s="573"/>
      <c r="C35" s="573"/>
      <c r="D35" s="573"/>
      <c r="E35" s="573"/>
      <c r="F35" s="573"/>
    </row>
    <row r="36" spans="1:6" ht="18" customHeight="1">
      <c r="A36" s="573"/>
      <c r="B36" s="573"/>
      <c r="C36" s="573"/>
      <c r="D36" s="573"/>
      <c r="E36" s="573"/>
      <c r="F36" s="573"/>
    </row>
    <row r="37" spans="1:6" ht="18">
      <c r="A37" s="446"/>
      <c r="B37" s="446"/>
      <c r="C37" s="446"/>
      <c r="D37" s="84"/>
      <c r="E37" s="84"/>
      <c r="F37" s="447"/>
    </row>
    <row r="38" spans="1:6" ht="18">
      <c r="A38" s="446"/>
      <c r="B38" s="446"/>
      <c r="C38" s="446"/>
      <c r="D38" s="84"/>
      <c r="E38" s="84"/>
      <c r="F38" s="447"/>
    </row>
    <row r="39" spans="1:6" ht="18">
      <c r="A39" s="446"/>
      <c r="B39" s="446"/>
      <c r="C39" s="446"/>
      <c r="D39" s="84"/>
      <c r="E39" s="84"/>
      <c r="F39" s="447"/>
    </row>
    <row r="40" spans="1:6" ht="18">
      <c r="A40" s="83"/>
      <c r="B40" s="83"/>
      <c r="C40" s="83"/>
      <c r="D40" s="83"/>
      <c r="E40" s="83"/>
    </row>
    <row r="41" spans="1:6" ht="23.45">
      <c r="A41" s="500" t="s">
        <v>275</v>
      </c>
      <c r="B41" s="500"/>
      <c r="C41" s="500"/>
      <c r="D41" s="500"/>
      <c r="E41" s="500"/>
      <c r="F41" s="500"/>
    </row>
    <row r="42" spans="1:6" ht="18">
      <c r="A42" s="402"/>
      <c r="B42" s="402"/>
      <c r="C42" s="402"/>
      <c r="D42" s="82"/>
      <c r="E42" s="82"/>
      <c r="F42" s="448"/>
    </row>
    <row r="43" spans="1:6" ht="18">
      <c r="A43" s="402"/>
      <c r="B43" s="402"/>
      <c r="C43" s="402"/>
      <c r="D43" s="82"/>
      <c r="E43" s="82"/>
      <c r="F43" s="448"/>
    </row>
    <row r="44" spans="1:6" ht="18">
      <c r="A44" s="402"/>
      <c r="B44" s="402"/>
      <c r="C44" s="402"/>
      <c r="D44" s="82"/>
      <c r="E44" s="82"/>
      <c r="F44" s="448"/>
    </row>
    <row r="45" spans="1:6" ht="20.45" customHeight="1"/>
  </sheetData>
  <sheetProtection algorithmName="SHA-512" hashValue="hf4PuyQTjkz4D0UPrjD1VB8peqO1cy/mShRvtizg0EFolGigmHxXI+bNE8kfYI7MZH0d9vO0TjZQnOu2TB39QQ==" saltValue="zhTML/k6cq9DOkmekfyRIg==" spinCount="100000" sheet="1" objects="1" scenarios="1" selectLockedCells="1"/>
  <mergeCells count="19">
    <mergeCell ref="A41:F41"/>
    <mergeCell ref="B10:C10"/>
    <mergeCell ref="B9:C9"/>
    <mergeCell ref="B8:C8"/>
    <mergeCell ref="A20:F20"/>
    <mergeCell ref="A24:F24"/>
    <mergeCell ref="B18:C18"/>
    <mergeCell ref="B17:C17"/>
    <mergeCell ref="B16:C16"/>
    <mergeCell ref="B15:C15"/>
    <mergeCell ref="B14:C14"/>
    <mergeCell ref="B13:C13"/>
    <mergeCell ref="B12:C12"/>
    <mergeCell ref="B11:C11"/>
    <mergeCell ref="A1:F4"/>
    <mergeCell ref="B27:E29"/>
    <mergeCell ref="A6:C6"/>
    <mergeCell ref="B7:C7"/>
    <mergeCell ref="A34:F36"/>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E563B-72CF-44A4-AC65-B451532C66B5}">
  <sheetPr codeName="Sheet20">
    <tabColor rgb="FF002060"/>
    <pageSetUpPr fitToPage="1"/>
  </sheetPr>
  <dimension ref="A1:G22"/>
  <sheetViews>
    <sheetView view="pageLayout" zoomScaleNormal="80" workbookViewId="0">
      <selection sqref="A1:F4"/>
    </sheetView>
  </sheetViews>
  <sheetFormatPr defaultColWidth="40.28515625" defaultRowHeight="13.9"/>
  <cols>
    <col min="1" max="1" width="28" style="176" customWidth="1"/>
    <col min="2" max="2" width="29.85546875" style="176" bestFit="1" customWidth="1"/>
    <col min="3" max="3" width="19" style="176" bestFit="1" customWidth="1"/>
    <col min="4" max="4" width="25.7109375" style="176" bestFit="1" customWidth="1"/>
    <col min="5" max="5" width="23.140625" style="176" bestFit="1" customWidth="1"/>
    <col min="6" max="6" width="23" style="176" bestFit="1" customWidth="1"/>
    <col min="7" max="7" width="12.85546875" style="176" bestFit="1" customWidth="1"/>
    <col min="8" max="16384" width="40.28515625" style="176"/>
  </cols>
  <sheetData>
    <row r="1" spans="1:7" ht="13.9" customHeight="1">
      <c r="A1" s="587" t="s">
        <v>262</v>
      </c>
      <c r="B1" s="587"/>
      <c r="C1" s="587"/>
      <c r="D1" s="587"/>
      <c r="E1" s="587"/>
      <c r="F1" s="587"/>
      <c r="G1" s="177"/>
    </row>
    <row r="2" spans="1:7">
      <c r="A2" s="587"/>
      <c r="B2" s="587"/>
      <c r="C2" s="587"/>
      <c r="D2" s="587"/>
      <c r="E2" s="587"/>
      <c r="F2" s="587"/>
      <c r="G2" s="177"/>
    </row>
    <row r="4" spans="1:7" ht="18.75" customHeight="1">
      <c r="A4" s="260" t="s">
        <v>263</v>
      </c>
      <c r="B4" s="248"/>
    </row>
    <row r="5" spans="1:7">
      <c r="A5" s="178" t="s">
        <v>264</v>
      </c>
      <c r="B5" s="259" t="s">
        <v>265</v>
      </c>
    </row>
    <row r="6" spans="1:7">
      <c r="A6" s="249" t="s">
        <v>42</v>
      </c>
      <c r="B6" s="250">
        <f>Outputs!B8</f>
        <v>679.34886397463424</v>
      </c>
    </row>
    <row r="7" spans="1:7">
      <c r="A7" s="249" t="s">
        <v>45</v>
      </c>
      <c r="B7" s="250">
        <f>Outputs!B9</f>
        <v>0</v>
      </c>
    </row>
    <row r="8" spans="1:7">
      <c r="A8" s="249" t="s">
        <v>48</v>
      </c>
      <c r="B8" s="250">
        <f>Outputs!B10</f>
        <v>0</v>
      </c>
    </row>
    <row r="9" spans="1:7">
      <c r="A9" s="249" t="s">
        <v>52</v>
      </c>
      <c r="B9" s="250">
        <f>Outputs!B11</f>
        <v>0</v>
      </c>
    </row>
    <row r="10" spans="1:7">
      <c r="A10" s="249" t="s">
        <v>55</v>
      </c>
      <c r="B10" s="250">
        <f>Outputs!B12</f>
        <v>0</v>
      </c>
    </row>
    <row r="11" spans="1:7">
      <c r="A11" s="249" t="s">
        <v>58</v>
      </c>
      <c r="B11" s="250">
        <f>Outputs!B13</f>
        <v>0</v>
      </c>
    </row>
    <row r="12" spans="1:7">
      <c r="A12" s="249" t="s">
        <v>61</v>
      </c>
      <c r="B12" s="250">
        <f>Outputs!B14</f>
        <v>0</v>
      </c>
    </row>
    <row r="13" spans="1:7">
      <c r="A13" s="249" t="s">
        <v>64</v>
      </c>
      <c r="B13" s="250">
        <f>Outputs!B15</f>
        <v>0</v>
      </c>
    </row>
    <row r="14" spans="1:7">
      <c r="A14" s="249" t="s">
        <v>67</v>
      </c>
      <c r="B14" s="250">
        <f>Outputs!B16</f>
        <v>0</v>
      </c>
    </row>
    <row r="15" spans="1:7">
      <c r="A15" s="249" t="s">
        <v>69</v>
      </c>
      <c r="B15" s="250">
        <f>Outputs!B17</f>
        <v>0</v>
      </c>
    </row>
    <row r="16" spans="1:7">
      <c r="A16" s="251" t="s">
        <v>70</v>
      </c>
      <c r="B16" s="252">
        <f>Outputs!B18</f>
        <v>0</v>
      </c>
    </row>
    <row r="18" spans="1:6" ht="18.75" customHeight="1">
      <c r="A18" s="581" t="s">
        <v>266</v>
      </c>
      <c r="B18" s="582"/>
      <c r="C18" s="582"/>
      <c r="D18" s="582"/>
      <c r="E18" s="582"/>
      <c r="F18" s="583"/>
    </row>
    <row r="19" spans="1:6">
      <c r="A19" s="256" t="s">
        <v>267</v>
      </c>
      <c r="B19" s="257" t="s">
        <v>268</v>
      </c>
      <c r="C19" s="257" t="s">
        <v>269</v>
      </c>
      <c r="D19" s="257" t="s">
        <v>270</v>
      </c>
      <c r="E19" s="257" t="s">
        <v>271</v>
      </c>
      <c r="F19" s="258" t="s">
        <v>272</v>
      </c>
    </row>
    <row r="20" spans="1:6">
      <c r="A20" s="253">
        <f>Outputs!A22</f>
        <v>0</v>
      </c>
      <c r="B20" s="254" t="str">
        <f>Outputs!B22</f>
        <v>No Reported Values</v>
      </c>
      <c r="C20" s="254" t="str">
        <f>Outputs!C22</f>
        <v>No Reported Values</v>
      </c>
      <c r="D20" s="254" t="str">
        <f>Outputs!D22</f>
        <v>No Reported Values</v>
      </c>
      <c r="E20" s="254" t="str">
        <f>Outputs!E22</f>
        <v>No Reported Values</v>
      </c>
      <c r="F20" s="255" t="str">
        <f>Outputs!F22</f>
        <v>No Reported Values</v>
      </c>
    </row>
    <row r="22" spans="1:6" ht="24" customHeight="1">
      <c r="A22" s="584" t="str">
        <f>Outputs!A24</f>
        <v>To process 49% of your herd's milk, you need to process 6,793 pounds per day.</v>
      </c>
      <c r="B22" s="585"/>
      <c r="C22" s="585"/>
      <c r="D22" s="585"/>
      <c r="E22" s="585"/>
      <c r="F22" s="586"/>
    </row>
  </sheetData>
  <mergeCells count="3">
    <mergeCell ref="A18:F18"/>
    <mergeCell ref="A22:F22"/>
    <mergeCell ref="A1:F2"/>
  </mergeCells>
  <pageMargins left="0.7" right="0.7" top="0.75" bottom="0.75" header="0.3" footer="0.3"/>
  <pageSetup scale="82" fitToHeight="0" orientation="landscape" r:id="rId1"/>
  <headerFooter>
    <oddHeader xml:space="preserve">&amp;L&amp;G&amp;CValue-Added Dairy Processing 
Decision Making Tool:  Cheese&amp;R&amp;G
</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66755A-9155-4440-B9FC-149A4AA95332}">
  <sheetPr codeName="Sheet3">
    <tabColor theme="9"/>
    <pageSetUpPr fitToPage="1"/>
  </sheetPr>
  <dimension ref="A1:AL412"/>
  <sheetViews>
    <sheetView zoomScale="80" zoomScaleNormal="80" workbookViewId="0">
      <selection sqref="A1:G8"/>
    </sheetView>
  </sheetViews>
  <sheetFormatPr defaultColWidth="9.140625" defaultRowHeight="14.45"/>
  <cols>
    <col min="1" max="1" width="61.7109375" customWidth="1"/>
    <col min="2" max="2" width="80.7109375" customWidth="1"/>
    <col min="3" max="3" width="27.28515625" customWidth="1"/>
    <col min="4" max="4" width="55.42578125" customWidth="1"/>
    <col min="5" max="5" width="33.28515625" bestFit="1" customWidth="1"/>
    <col min="6" max="6" width="39.85546875" bestFit="1" customWidth="1"/>
    <col min="7" max="7" width="33.28515625" bestFit="1" customWidth="1"/>
    <col min="8" max="8" width="39.28515625" bestFit="1" customWidth="1"/>
  </cols>
  <sheetData>
    <row r="1" spans="1:38" ht="14.45" customHeight="1">
      <c r="A1" s="573" t="s">
        <v>276</v>
      </c>
      <c r="B1" s="573"/>
      <c r="C1" s="573"/>
      <c r="D1" s="573"/>
      <c r="E1" s="573"/>
      <c r="F1" s="573"/>
      <c r="G1" s="573"/>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row>
    <row r="2" spans="1:38" ht="14.45" customHeight="1">
      <c r="A2" s="573"/>
      <c r="B2" s="573"/>
      <c r="C2" s="573"/>
      <c r="D2" s="573"/>
      <c r="E2" s="573"/>
      <c r="F2" s="573"/>
      <c r="G2" s="573"/>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22"/>
      <c r="AJ2" s="22"/>
      <c r="AK2" s="22"/>
      <c r="AL2" s="22"/>
    </row>
    <row r="3" spans="1:38" ht="15" customHeight="1">
      <c r="A3" s="573"/>
      <c r="B3" s="573"/>
      <c r="C3" s="573"/>
      <c r="D3" s="573"/>
      <c r="E3" s="573"/>
      <c r="F3" s="573"/>
      <c r="G3" s="573"/>
      <c r="H3" s="22"/>
      <c r="I3" s="22"/>
      <c r="J3" s="22"/>
      <c r="K3" s="22"/>
      <c r="L3" s="22"/>
      <c r="M3" s="22"/>
      <c r="N3" s="22"/>
      <c r="O3" s="22"/>
      <c r="P3" s="22"/>
      <c r="Q3" s="22"/>
      <c r="R3" s="22"/>
      <c r="S3" s="22"/>
      <c r="T3" s="22"/>
      <c r="U3" s="22"/>
      <c r="V3" s="22"/>
      <c r="W3" s="22"/>
      <c r="X3" s="22"/>
      <c r="Y3" s="22"/>
      <c r="Z3" s="22"/>
      <c r="AA3" s="22"/>
      <c r="AB3" s="22"/>
      <c r="AC3" s="22"/>
      <c r="AD3" s="22"/>
      <c r="AE3" s="22"/>
      <c r="AF3" s="22"/>
      <c r="AG3" s="22"/>
      <c r="AH3" s="22"/>
      <c r="AI3" s="22"/>
      <c r="AJ3" s="22"/>
      <c r="AK3" s="22"/>
      <c r="AL3" s="22"/>
    </row>
    <row r="4" spans="1:38" ht="14.45" customHeight="1">
      <c r="A4" s="573"/>
      <c r="B4" s="573"/>
      <c r="C4" s="573"/>
      <c r="D4" s="573"/>
      <c r="E4" s="573"/>
      <c r="F4" s="573"/>
      <c r="G4" s="573"/>
      <c r="H4" s="22"/>
      <c r="I4" s="22"/>
      <c r="J4" s="22"/>
      <c r="K4" s="22"/>
      <c r="L4" s="22"/>
      <c r="M4" s="22"/>
      <c r="N4" s="22"/>
      <c r="O4" s="22"/>
      <c r="P4" s="22"/>
      <c r="Q4" s="22"/>
      <c r="R4" s="22"/>
      <c r="S4" s="22"/>
      <c r="T4" s="22"/>
      <c r="U4" s="22"/>
      <c r="V4" s="22"/>
      <c r="W4" s="22"/>
      <c r="X4" s="22"/>
      <c r="Y4" s="22"/>
      <c r="Z4" s="22"/>
      <c r="AA4" s="22"/>
      <c r="AB4" s="22"/>
      <c r="AC4" s="22"/>
      <c r="AD4" s="22"/>
      <c r="AE4" s="22"/>
      <c r="AF4" s="22"/>
      <c r="AG4" s="22"/>
      <c r="AH4" s="22"/>
      <c r="AI4" s="22"/>
      <c r="AJ4" s="22"/>
      <c r="AK4" s="22"/>
      <c r="AL4" s="22"/>
    </row>
    <row r="5" spans="1:38" ht="14.45" customHeight="1">
      <c r="A5" s="573"/>
      <c r="B5" s="573"/>
      <c r="C5" s="573"/>
      <c r="D5" s="573"/>
      <c r="E5" s="573"/>
      <c r="F5" s="573"/>
      <c r="G5" s="573"/>
      <c r="H5" s="22"/>
      <c r="I5" s="22"/>
      <c r="J5" s="22"/>
      <c r="K5" s="22"/>
      <c r="L5" s="22"/>
      <c r="M5" s="22"/>
      <c r="N5" s="22"/>
      <c r="O5" s="22"/>
      <c r="P5" s="22"/>
      <c r="Q5" s="22"/>
      <c r="R5" s="22"/>
      <c r="S5" s="22"/>
      <c r="T5" s="22"/>
      <c r="U5" s="22"/>
      <c r="V5" s="22"/>
      <c r="W5" s="22"/>
      <c r="X5" s="22"/>
      <c r="Y5" s="22"/>
      <c r="Z5" s="22"/>
      <c r="AA5" s="22"/>
      <c r="AB5" s="22"/>
      <c r="AC5" s="22"/>
      <c r="AD5" s="22"/>
      <c r="AE5" s="22"/>
      <c r="AF5" s="22"/>
      <c r="AG5" s="22"/>
      <c r="AH5" s="22"/>
      <c r="AI5" s="22"/>
      <c r="AJ5" s="22"/>
      <c r="AK5" s="22"/>
      <c r="AL5" s="22"/>
    </row>
    <row r="6" spans="1:38" ht="14.45" customHeight="1">
      <c r="A6" s="573"/>
      <c r="B6" s="573"/>
      <c r="C6" s="573"/>
      <c r="D6" s="573"/>
      <c r="E6" s="573"/>
      <c r="F6" s="573"/>
      <c r="G6" s="573"/>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row>
    <row r="7" spans="1:38" ht="14.45" customHeight="1">
      <c r="A7" s="573"/>
      <c r="B7" s="573"/>
      <c r="C7" s="573"/>
      <c r="D7" s="573"/>
      <c r="E7" s="573"/>
      <c r="F7" s="573"/>
      <c r="G7" s="573"/>
      <c r="H7" s="22"/>
      <c r="I7" s="22"/>
      <c r="J7" s="22"/>
      <c r="K7" s="2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2"/>
    </row>
    <row r="8" spans="1:38" ht="14.45" customHeight="1">
      <c r="A8" s="573"/>
      <c r="B8" s="573"/>
      <c r="C8" s="573"/>
      <c r="D8" s="573"/>
      <c r="E8" s="573"/>
      <c r="F8" s="573"/>
      <c r="G8" s="573"/>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row>
    <row r="9" spans="1:38" ht="18">
      <c r="A9" s="83"/>
      <c r="B9" s="83"/>
      <c r="C9" s="83"/>
      <c r="D9" s="83"/>
      <c r="E9" s="83"/>
      <c r="F9" s="83"/>
      <c r="G9" s="83"/>
      <c r="H9" s="83"/>
      <c r="I9" s="22"/>
      <c r="J9" s="22"/>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row>
    <row r="10" spans="1:38" ht="18">
      <c r="A10" s="369" t="s">
        <v>277</v>
      </c>
      <c r="B10" s="83"/>
      <c r="C10" s="83"/>
      <c r="D10" s="83" t="s">
        <v>278</v>
      </c>
      <c r="E10" s="83"/>
      <c r="F10" s="83"/>
      <c r="G10" s="83"/>
      <c r="H10" s="83"/>
      <c r="I10" s="22"/>
      <c r="J10" s="22"/>
      <c r="K10" s="22"/>
      <c r="L10" s="22"/>
      <c r="M10" s="22"/>
      <c r="N10" s="22"/>
      <c r="O10" s="22"/>
    </row>
    <row r="11" spans="1:38" ht="18">
      <c r="A11" s="83"/>
      <c r="B11" s="83"/>
      <c r="C11" s="83"/>
      <c r="D11" s="64"/>
      <c r="E11" s="64"/>
      <c r="F11" s="64"/>
      <c r="G11" s="64"/>
      <c r="H11" s="83"/>
      <c r="I11" s="22"/>
      <c r="J11" s="22"/>
      <c r="K11" s="22"/>
      <c r="L11" s="22"/>
      <c r="M11" s="22"/>
      <c r="N11" s="22"/>
      <c r="O11" s="22"/>
    </row>
    <row r="12" spans="1:38" ht="18">
      <c r="A12" s="449" t="s">
        <v>279</v>
      </c>
      <c r="B12" s="450" t="s">
        <v>280</v>
      </c>
      <c r="C12" s="450" t="s">
        <v>281</v>
      </c>
      <c r="D12" s="450" t="s">
        <v>282</v>
      </c>
      <c r="E12" s="450" t="s">
        <v>267</v>
      </c>
      <c r="F12" s="450" t="s">
        <v>283</v>
      </c>
      <c r="G12" s="451" t="s">
        <v>284</v>
      </c>
      <c r="H12" s="83"/>
      <c r="I12" s="22"/>
      <c r="J12" s="22"/>
      <c r="K12" s="22"/>
      <c r="L12" s="22"/>
      <c r="M12" s="22"/>
      <c r="N12" s="22"/>
      <c r="O12" s="22"/>
    </row>
    <row r="13" spans="1:38" ht="18">
      <c r="A13" s="452" t="s">
        <v>112</v>
      </c>
      <c r="B13" s="453" t="str">
        <f>Inputs!B66</f>
        <v>Average Aging Room Env. Controls</v>
      </c>
      <c r="C13" s="454">
        <f>IF(NOT(ISNUMBER(INDEX(Equipment!$A$154:$L$155,MATCH(B13,Equipment!$A$154:$A$155,0),5))),0,INDEX(Equipment!$A$154:$L$155,MATCH(B13,Equipment!$A$154:$A$155,0),5))</f>
        <v>1500</v>
      </c>
      <c r="D13" s="455" t="str" cm="1">
        <f t="array" ref="D13">_xlfn.IFS($B13="Not Applicable","",VLOOKUP($B13,Equipment!$A$154:$L$155,11,FALSE)=0,Equipment!$T$14,VLOOKUP($B13,Equipment!$A$154:$L$155,11,FALSE)&gt;0,VLOOKUP($B13,Equipment!$A$154:$L$155,11,FALSE))</f>
        <v>Not enough data to calculate</v>
      </c>
      <c r="E13" s="456" t="str" cm="1">
        <f t="array" ref="E13">_xlfn.IFS($B13="Not Applicable","",VLOOKUP($B13,Equipment!$A$154:$L$155,6,FALSE)=0,Equipment!$T$14,VLOOKUP($B13,Equipment!$A$154:$L$155,6,FALSE)&gt;0,VLOOKUP($B13,Equipment!$A$154:$L$155,6,FALSE))</f>
        <v>Not enough data to calculate</v>
      </c>
      <c r="F13" s="457" t="str" cm="1">
        <f t="array" ref="F13">_xlfn.IFS($B13="Not Applicable","",VLOOKUP($B13,Equipment!$A$154:$L$155,9,FALSE)=0,Equipment!$T$14,VLOOKUP($B13,Equipment!$A$154:$L$155,9,FALSE)&gt;0,TEXT(VLOOKUP(B13,Equipment!$A$154:$L$155,9,FALSE),"0")&amp;" lbs/animal/day")</f>
        <v>Not enough data to calculate</v>
      </c>
      <c r="G13" s="458" t="str" cm="1">
        <f t="array" ref="G13">_xlfn.IFS($B13="Not Applicable","",VLOOKUP($B13,Equipment!$A$154:$L$155,10,FALSE)=0,Equipment!$T$14,VLOOKUP($B13,Equipment!$A$154:$L$155,10,FALSE)&gt;0,TEXT(VLOOKUP(B13,Equipment!$A$154:$L$155,10,FALSE),"0")&amp;" animals")</f>
        <v>Not enough data to calculate</v>
      </c>
      <c r="H13" s="83"/>
      <c r="I13" s="22"/>
      <c r="J13" s="22"/>
      <c r="K13" s="22"/>
      <c r="L13" s="22"/>
      <c r="M13" s="22"/>
      <c r="N13" s="22"/>
      <c r="O13" s="22"/>
    </row>
    <row r="14" spans="1:38" ht="18">
      <c r="A14" s="452" t="s">
        <v>114</v>
      </c>
      <c r="B14" s="453" t="str">
        <f>Inputs!B67</f>
        <v>Average Aging Room Storage</v>
      </c>
      <c r="C14" s="454">
        <f>IF(NOT(ISNUMBER(INDEX(Equipment!$A$159:$L$160,MATCH(B14,Equipment!$A$159:$A$160,0),5))),0,INDEX(Equipment!$A$159:$L$160,MATCH(B14,Equipment!$A$159:$A$160,0),5))</f>
        <v>1769.27</v>
      </c>
      <c r="D14" s="455" t="str" cm="1">
        <f t="array" ref="D14">_xlfn.IFS($B14="Not Applicable","",VLOOKUP($B14,Equipment!$A$159:$L$160,11,FALSE)=0,Equipment!$T$14,VLOOKUP($B14,Equipment!$A$159:$L$160,11,FALSE)&gt;0,VLOOKUP($B14,Equipment!$A$159:$L$160,11,FALSE))</f>
        <v>Not enough data to calculate</v>
      </c>
      <c r="E14" s="456" t="str" cm="1">
        <f t="array" ref="E14">_xlfn.IFS($B14="Not Applicable","",VLOOKUP($B14,Equipment!$A$159:$L$160,6,FALSE)=0,Equipment!$T$14,VLOOKUP($B14,Equipment!$A$159:$L$160,6,FALSE)&gt;0,VLOOKUP($B14,Equipment!$A$159:$L$160,6,FALSE))</f>
        <v>Not enough data to calculate</v>
      </c>
      <c r="F14" s="457" t="str" cm="1">
        <f t="array" ref="F14">_xlfn.IFS($B14="Not Applicable","",VLOOKUP($B14,Equipment!$A$159:$L$160,9,FALSE)=0,Equipment!$T$14,VLOOKUP($B14,Equipment!$A$159:$L$160,9,FALSE)&gt;0,TEXT(VLOOKUP(B14,Equipment!$A$159:$L$160,9,FALSE),"0")&amp;" lbs/animal/day")</f>
        <v>Not enough data to calculate</v>
      </c>
      <c r="G14" s="458" t="str" cm="1">
        <f t="array" ref="G14">_xlfn.IFS($B14="Not Applicable","",VLOOKUP($B14,Equipment!$A$159:$L$160,10,FALSE)=0,Equipment!$T$14,VLOOKUP($B14,Equipment!$A$159:$L$160,10,FALSE)&gt;0,TEXT(VLOOKUP(B14,Equipment!$A$159:$L$160,10,FALSE),"0")&amp;" animals")</f>
        <v>Not enough data to calculate</v>
      </c>
      <c r="H14" s="83"/>
      <c r="I14" s="22"/>
      <c r="J14" s="22"/>
      <c r="K14" s="22"/>
      <c r="L14" s="22"/>
      <c r="M14" s="22"/>
      <c r="N14" s="22"/>
      <c r="O14" s="22"/>
    </row>
    <row r="15" spans="1:38" ht="18">
      <c r="A15" s="452" t="s">
        <v>116</v>
      </c>
      <c r="B15" s="453" t="str">
        <f>Inputs!B68</f>
        <v>Not Applicable</v>
      </c>
      <c r="C15" s="454">
        <f>IF(NOT(ISNUMBER(INDEX(Equipment!$A$109:$L$110,MATCH(B15,Equipment!$A$109:$A$110,0),5))),0,INDEX(Equipment!$A$109:$L$110,MATCH(B15,Equipment!$A$109:$A$110,0),5))</f>
        <v>0</v>
      </c>
      <c r="D15" s="455" t="str" cm="1">
        <f t="array" ref="D15">_xlfn.IFS($B15="Not Applicable","",VLOOKUP($B15,Equipment!$A$109:$L$110,11,FALSE)=0,Equipment!$T$14,VLOOKUP($B15,Equipment!$A$109:$L$110,11,FALSE)&gt;0,VLOOKUP($B15,Equipment!$A$109:$L$110,11,FALSE))</f>
        <v/>
      </c>
      <c r="E15" s="456" t="str" cm="1">
        <f t="array" ref="E15">_xlfn.IFS($B15="Not Applicable","",VLOOKUP($B15,Equipment!$A$109:$L$110,6,FALSE)=0,Equipment!$T$14,VLOOKUP($B15,Equipment!$A$109:$L$110,6,FALSE)&gt;0,VLOOKUP($B15,Equipment!$A$109:$L$110,6,FALSE))</f>
        <v/>
      </c>
      <c r="F15" s="457" t="str" cm="1">
        <f t="array" ref="F15">_xlfn.IFS($B15="Not Applicable","",VLOOKUP($B15,Equipment!$A$109:$L$110,9,FALSE)=0,Equipment!$T$14,VLOOKUP($B15,Equipment!$A$109:$L$110,9,FALSE)&gt;0,TEXT(VLOOKUP(B15,Equipment!$A$109:$L$110,9,FALSE),"0")&amp;" lbs/animal/day")</f>
        <v/>
      </c>
      <c r="G15" s="458" t="str" cm="1">
        <f t="array" ref="G15">_xlfn.IFS($B15="Not Applicable","",VLOOKUP($B15,Equipment!$A$109:$L$110,10,FALSE)=0,Equipment!$T$14,VLOOKUP($B15,Equipment!$A$109:$L$110,10,FALSE)&gt;0,TEXT(VLOOKUP(B15,Equipment!$A$109:$L$110,10,FALSE),"0")&amp;" animals")</f>
        <v/>
      </c>
      <c r="H15" s="83"/>
      <c r="I15" s="22"/>
      <c r="J15" s="22"/>
      <c r="K15" s="22"/>
      <c r="L15" s="22"/>
      <c r="M15" s="22"/>
      <c r="N15" s="22"/>
      <c r="O15" s="22"/>
    </row>
    <row r="16" spans="1:38" ht="18">
      <c r="A16" s="452" t="s">
        <v>118</v>
      </c>
      <c r="B16" s="453" t="str">
        <f>Inputs!B69</f>
        <v>Not Applicable</v>
      </c>
      <c r="C16" s="454">
        <f>IF(NOT(ISNUMBER(INDEX(Equipment!$A$114:$L$115,MATCH(B16,Equipment!$A$114:$A$115,0),5))),0,INDEX(Equipment!$A$114:$L$115,MATCH(B16,Equipment!$A$114:$A$115,0),5))</f>
        <v>0</v>
      </c>
      <c r="D16" s="455" t="str" cm="1">
        <f t="array" ref="D16">_xlfn.IFS($B16="Not Applicable","",VLOOKUP($B16,Equipment!$A$114:$L$115,11,FALSE)=0,Equipment!$T$14,VLOOKUP($B16,Equipment!$A$114:$L$115,11,FALSE)&gt;0,VLOOKUP($B16,Equipment!$A$114:$L$115,11,FALSE))</f>
        <v/>
      </c>
      <c r="E16" s="456" t="str" cm="1">
        <f t="array" ref="E16">_xlfn.IFS($B16="Not Applicable","",VLOOKUP($B16,Equipment!$A$114:$L$115,6,FALSE)=0,Equipment!$T$14,VLOOKUP($B16,Equipment!$A$114:$L$115,6,FALSE)&gt;0,VLOOKUP($B16,Equipment!$A$114:$L$115,6,FALSE))</f>
        <v/>
      </c>
      <c r="F16" s="457" t="str" cm="1">
        <f t="array" ref="F16">_xlfn.IFS($B16="Not Applicable","",VLOOKUP($B16,Equipment!$A$114:$L$115,9,FALSE)=0,Equipment!$T$14,VLOOKUP($B16,Equipment!$A$114:$L$115,9,FALSE)&gt;0,TEXT(VLOOKUP(B16,Equipment!$A$114:$L$115,9,FALSE),"0")&amp;" lbs/animal/day")</f>
        <v/>
      </c>
      <c r="G16" s="458" t="str" cm="1">
        <f t="array" ref="G16">_xlfn.IFS($B16="Not Applicable","",VLOOKUP($B16,Equipment!$A$114:$L$115,10,FALSE)=0,Equipment!$T$14,VLOOKUP($B16,Equipment!$A$114:$L$115,10,FALSE)&gt;0,TEXT(VLOOKUP(B16,Equipment!$A$114:$L$115,10,FALSE),"0")&amp;" animals")</f>
        <v/>
      </c>
      <c r="H16" s="83"/>
      <c r="I16" s="22"/>
      <c r="J16" s="22"/>
      <c r="K16" s="22"/>
      <c r="L16" s="22"/>
      <c r="M16" s="22"/>
      <c r="N16" s="22"/>
      <c r="O16" s="22"/>
    </row>
    <row r="17" spans="1:15" ht="18">
      <c r="A17" s="452" t="s">
        <v>285</v>
      </c>
      <c r="B17" s="453" t="str">
        <f>Inputs!B70</f>
        <v>Not Applicable</v>
      </c>
      <c r="C17" s="454">
        <f>IF(NOT(ISNUMBER(INDEX(Equipment!$A$119:$L$120,MATCH(B17,Equipment!$A$119:$A$120,0),5))),0,INDEX(Equipment!$A$119:$L$120,MATCH(B17,Equipment!$A$119:$A$120,0),5))</f>
        <v>0</v>
      </c>
      <c r="D17" s="455" t="str" cm="1">
        <f t="array" ref="D17">_xlfn.IFS($B17="Not Applicable","",VLOOKUP($B17,Equipment!$A$119:$L$120,11,FALSE)=0,Equipment!$T$14,VLOOKUP($B17,Equipment!$A$119:$L$120,11,FALSE)&gt;0,VLOOKUP($B17,Equipment!$A$119:$L$120,11,FALSE))</f>
        <v/>
      </c>
      <c r="E17" s="456" t="str" cm="1">
        <f t="array" ref="E17">_xlfn.IFS($B17="Not Applicable","",VLOOKUP($B17,Equipment!$A$119:$L$120,6,FALSE)=0,Equipment!$T$14,VLOOKUP($B17,Equipment!$A$119:$L$120,6,FALSE)&gt;0,VLOOKUP($B17,Equipment!$A$119:$L$120,6,FALSE))</f>
        <v/>
      </c>
      <c r="F17" s="457" t="str" cm="1">
        <f t="array" ref="F17">_xlfn.IFS($B17="Not Applicable","",VLOOKUP($B17,Equipment!$A$119:$L$120,9,FALSE)=0,Equipment!$T$14,VLOOKUP($B17,Equipment!$A$119:$L$120,9,FALSE)&gt;0,TEXT(VLOOKUP(B17,Equipment!$A$119:$L$120,9,FALSE),"0")&amp;" lbs/animal/day")</f>
        <v/>
      </c>
      <c r="G17" s="458" t="str" cm="1">
        <f t="array" ref="G17">_xlfn.IFS($B17="Not Applicable","",VLOOKUP($B17,Equipment!$A$119:$L$120,10,FALSE)=0,Equipment!$T$14,VLOOKUP($B17,Equipment!$A$119:$L$120,10,FALSE)&gt;0,TEXT(VLOOKUP(B17,Equipment!$A$119:$L$120,10,FALSE),"0")&amp;" animals")</f>
        <v/>
      </c>
      <c r="H17" s="83"/>
      <c r="I17" s="22"/>
      <c r="J17" s="22"/>
      <c r="K17" s="22"/>
      <c r="L17" s="22"/>
      <c r="M17" s="22"/>
      <c r="N17" s="22"/>
      <c r="O17" s="22"/>
    </row>
    <row r="18" spans="1:15" ht="18">
      <c r="A18" s="452" t="s">
        <v>286</v>
      </c>
      <c r="B18" s="453" t="str">
        <f>Inputs!B71</f>
        <v>Average Curd Distributors</v>
      </c>
      <c r="C18" s="454">
        <f>IF(NOT(ISNUMBER(INDEX(Equipment!$A$124:$L$125,MATCH(B18,Equipment!$A$124:$A$125,0),5))),0,INDEX(Equipment!$A$124:$L$125,MATCH(B18,Equipment!$A$124:$A$125,0),5))</f>
        <v>2132.25</v>
      </c>
      <c r="D18" s="455" t="str" cm="1">
        <f t="array" ref="D18">_xlfn.IFS($B18="Not Applicable","",VLOOKUP($B18,Equipment!$A$124:$L$125,11,FALSE)=0,Equipment!$T$14,VLOOKUP($B18,Equipment!$A$124:$L$125,11,FALSE)&gt;0,VLOOKUP($B18,Equipment!$A$124:$L$125,11,FALSE))</f>
        <v>Not enough data to calculate</v>
      </c>
      <c r="E18" s="456" t="str" cm="1">
        <f t="array" ref="E18">_xlfn.IFS($B18="Not Applicable","",VLOOKUP($B18,Equipment!$A$124:$L$125,6,FALSE)=0,Equipment!$T$14,VLOOKUP($B18,Equipment!$A$124:$L$125,6,FALSE)&gt;0,VLOOKUP($B18,Equipment!$A$124:$L$125,6,FALSE))</f>
        <v>Not enough data to calculate</v>
      </c>
      <c r="F18" s="457" t="str" cm="1">
        <f t="array" ref="F18">_xlfn.IFS($B18="Not Applicable","",VLOOKUP($B18,Equipment!$A$124:$L$125,9,FALSE)=0,Equipment!$T$14,VLOOKUP($B18,Equipment!$A$124:$L$125,9,FALSE)&gt;0,TEXT(VLOOKUP(B18,Equipment!$A$124:$L$125,9,FALSE),"0")&amp;" lbs/animal/day")</f>
        <v>Not enough data to calculate</v>
      </c>
      <c r="G18" s="458" t="str" cm="1">
        <f t="array" ref="G18">_xlfn.IFS($B18="Not Applicable","",VLOOKUP($B18,Equipment!$A$124:$L$125,10,FALSE)=0,Equipment!$T$14,VLOOKUP($B18,Equipment!$A$124:$L$125,10,FALSE)&gt;0,TEXT(VLOOKUP(B18,Equipment!$A$124:$L$125,10,FALSE),"0")&amp;" animals")</f>
        <v>Not enough data to calculate</v>
      </c>
      <c r="H18" s="83"/>
      <c r="I18" s="22"/>
      <c r="J18" s="22"/>
      <c r="K18" s="22"/>
      <c r="L18" s="22"/>
      <c r="M18" s="22"/>
      <c r="N18" s="22"/>
      <c r="O18" s="22"/>
    </row>
    <row r="19" spans="1:15" ht="18">
      <c r="A19" s="452" t="s">
        <v>122</v>
      </c>
      <c r="B19" s="453" t="str">
        <f>Inputs!B72</f>
        <v>Average Drain Table</v>
      </c>
      <c r="C19" s="454">
        <f>IF(NOT(ISNUMBER(INDEX(Equipment!$A$129:$L$130,MATCH(B19,Equipment!$A$129:$A$130,0),5))),0,INDEX(Equipment!$A$129:$L$130,MATCH(B19,Equipment!$A$129:$A$130,0),5))</f>
        <v>19497.66</v>
      </c>
      <c r="D19" s="455" t="str" cm="1">
        <f t="array" ref="D19">_xlfn.IFS($B19="Not Applicable","",VLOOKUP($B19,Equipment!$A$129:$L$130,11,FALSE)=0,Equipment!$T$14,VLOOKUP($B19,Equipment!$A$129:$L$130,11,FALSE)&gt;0,VLOOKUP($B19,Equipment!$A$129:$L$130,11,FALSE))</f>
        <v>Not enough data to calculate</v>
      </c>
      <c r="E19" s="456" t="str" cm="1">
        <f t="array" ref="E19">_xlfn.IFS($B19="Not Applicable","",VLOOKUP($B19,Equipment!$A$129:$L$130,6,FALSE)=0,Equipment!$T$14,VLOOKUP($B19,Equipment!$A$129:$L$130,6,FALSE)&gt;0,VLOOKUP($B19,Equipment!$A$129:$L$130,6,FALSE))</f>
        <v>Not enough data to calculate</v>
      </c>
      <c r="F19" s="457" t="str" cm="1">
        <f t="array" ref="F19">_xlfn.IFS($B19="Not Applicable","",VLOOKUP($B19,Equipment!$A$129:$L$130,9,FALSE)=0,Equipment!$T$14,VLOOKUP($B19,Equipment!$A$129:$L$130,9,FALSE)&gt;0,TEXT(VLOOKUP(B19,Equipment!$A$129:$L$130,9,FALSE),"0")&amp;" lbs/animal/day")</f>
        <v>Not enough data to calculate</v>
      </c>
      <c r="G19" s="458" t="str" cm="1">
        <f t="array" ref="G19">_xlfn.IFS($B19="Not Applicable","",VLOOKUP($B19,Equipment!$A$129:$L$130,10,FALSE)=0,Equipment!$T$14,VLOOKUP($B19,Equipment!$A$129:$L$130,10,FALSE)&gt;0,TEXT(VLOOKUP(B19,Equipment!$A$129:$L$130,10,FALSE),"0")&amp;" animals")</f>
        <v>Not enough data to calculate</v>
      </c>
      <c r="H19" s="83"/>
      <c r="I19" s="22"/>
      <c r="J19" s="22"/>
      <c r="K19" s="22"/>
      <c r="L19" s="22"/>
      <c r="M19" s="22"/>
      <c r="N19" s="22"/>
      <c r="O19" s="22"/>
    </row>
    <row r="20" spans="1:15" ht="18">
      <c r="A20" s="452" t="s">
        <v>124</v>
      </c>
      <c r="B20" s="453" t="str">
        <f>Inputs!B73</f>
        <v>Average Molds</v>
      </c>
      <c r="C20" s="454">
        <f>IF(NOT(ISNUMBER(INDEX(Equipment!$A$134:$L$135,MATCH(B20,Equipment!$A$134:$A$135,0),5))),0,INDEX(Equipment!$A$134:$L$135,MATCH(B20,Equipment!$A$134:$A$135,0),5))</f>
        <v>5118.87</v>
      </c>
      <c r="D20" s="455" t="str" cm="1">
        <f t="array" ref="D20">_xlfn.IFS($B20="Not Applicable","",VLOOKUP($B20,Equipment!$A$134:$L$135,11,FALSE)=0,Equipment!$T$14,VLOOKUP($B20,Equipment!$A$134:$L$135,11,FALSE)&gt;0,VLOOKUP($B20,Equipment!$A$134:$L$135,11,FALSE))</f>
        <v>Not enough data to calculate</v>
      </c>
      <c r="E20" s="456" t="str" cm="1">
        <f t="array" ref="E20">_xlfn.IFS($B20="Not Applicable","",VLOOKUP($B20,Equipment!$A$134:$L$135,6,FALSE)=0,Equipment!$T$14,VLOOKUP($B20,Equipment!$A$134:$L$135,6,FALSE)&gt;0,VLOOKUP($B20,Equipment!$A$134:$L$135,6,FALSE))</f>
        <v>Not enough data to calculate</v>
      </c>
      <c r="F20" s="457" t="str" cm="1">
        <f t="array" ref="F20">_xlfn.IFS($B20="Not Applicable","",VLOOKUP($B20,Equipment!$A$134:$L$135,9,FALSE)=0,Equipment!$T$14,VLOOKUP($B20,Equipment!$A$134:$L$135,9,FALSE)&gt;0,TEXT(VLOOKUP(B20,Equipment!$A$134:$L$135,9,FALSE),"0")&amp;" lbs/animal/day")</f>
        <v>Not enough data to calculate</v>
      </c>
      <c r="G20" s="458" t="str" cm="1">
        <f t="array" ref="G20">_xlfn.IFS($B20="Not Applicable","",VLOOKUP($B20,Equipment!$A$134:$L$135,10,FALSE)=0,Equipment!$T$14,VLOOKUP($B20,Equipment!$A$134:$L$135,10,FALSE)&gt;0,TEXT(VLOOKUP(B20,Equipment!$A$134:$L$135,10,FALSE),"0")&amp;" animals")</f>
        <v>Not enough data to calculate</v>
      </c>
      <c r="H20" s="83"/>
      <c r="I20" s="22"/>
      <c r="J20" s="22"/>
      <c r="K20" s="22"/>
      <c r="L20" s="22"/>
      <c r="M20" s="22"/>
      <c r="N20" s="22"/>
      <c r="O20" s="22"/>
    </row>
    <row r="21" spans="1:15" ht="18">
      <c r="A21" s="452" t="s">
        <v>126</v>
      </c>
      <c r="B21" s="453" t="str">
        <f>Inputs!B74</f>
        <v>Average Cheese Press</v>
      </c>
      <c r="C21" s="454">
        <f>IF(NOT(ISNUMBER(INDEX(Equipment!$A$90:$L$100,MATCH(B21,Equipment!$A$90:$A$100,0),5))),0,INDEX(Equipment!$A$90:$L$100,MATCH(B21,Equipment!$A$90:$A$100,0),5))</f>
        <v>12120.57</v>
      </c>
      <c r="D21" s="455" t="str" cm="1">
        <f t="array" ref="D21">_xlfn.IFS($B21="Not Applicable","",VLOOKUP($B21,Equipment!$A$90:$L$100,11,FALSE)=0,Equipment!$T$14,VLOOKUP($B21,Equipment!$A$90:$L$100,11,FALSE)&gt;0,VLOOKUP($B21,Equipment!$A$90:$L$100,11,FALSE))</f>
        <v>Not enough data to calculate</v>
      </c>
      <c r="E21" s="456" t="str" cm="1">
        <f t="array" ref="E21">_xlfn.IFS($B21="Not Applicable","",VLOOKUP($B21,Equipment!$A$90:$L$100,6,FALSE)=0,Equipment!$T$14,VLOOKUP($B21,Equipment!$A$90:$L$100,6,FALSE)&gt;0,VLOOKUP($B21,Equipment!$A$90:$L$100,6,FALSE))</f>
        <v>Not enough data to calculate</v>
      </c>
      <c r="F21" s="457" t="str" cm="1">
        <f t="array" ref="F21">_xlfn.IFS($B21="Not Applicable","",VLOOKUP($B21,Equipment!$A$90:$L$100,9,FALSE)=0,Equipment!$T$14,VLOOKUP($B21,Equipment!$A$90:$L$100,9,FALSE)&gt;0,TEXT(VLOOKUP(B21,Equipment!$A$90:$L$100,9,FALSE),"0")&amp;" lbs/animal/day")</f>
        <v>Not enough data to calculate</v>
      </c>
      <c r="G21" s="458" t="str" cm="1">
        <f t="array" ref="G21">_xlfn.IFS($B21="Not Applicable","",VLOOKUP($B21,Equipment!$A$90:$L$100,10,FALSE)=0,Equipment!$T$14,VLOOKUP($B21,Equipment!$A$90:$L$100,10,FALSE)&gt;0,TEXT(VLOOKUP(B21,Equipment!$A$90:$L$100,10,FALSE),"0")&amp;" animals")</f>
        <v>Not enough data to calculate</v>
      </c>
      <c r="H21" s="83"/>
      <c r="I21" s="22"/>
      <c r="J21" s="22"/>
      <c r="K21" s="22"/>
      <c r="L21" s="22"/>
      <c r="M21" s="22"/>
      <c r="N21" s="22"/>
      <c r="O21" s="22"/>
    </row>
    <row r="22" spans="1:15" ht="18">
      <c r="A22" s="452" t="s">
        <v>287</v>
      </c>
      <c r="B22" s="453" t="str">
        <f>Inputs!B75</f>
        <v>Average Slicers</v>
      </c>
      <c r="C22" s="454">
        <f>IF(NOT(ISNUMBER(INDEX(Equipment!$A$139:$L$140,MATCH(B22,Equipment!$A$139:$A$140,0),5))),0,INDEX(Equipment!$A$139:$L$140,MATCH(B22,Equipment!$A$139:$A$140,0),5))</f>
        <v>10262.64</v>
      </c>
      <c r="D22" s="455" t="str" cm="1">
        <f t="array" ref="D22">_xlfn.IFS($B22="Not Applicable","",VLOOKUP($B22,Equipment!$A$139:$L$140,11,FALSE)=0,Equipment!$T$14,VLOOKUP($B22,Equipment!$A$139:$L$140,11,FALSE)&gt;0,VLOOKUP($B22,Equipment!$A$139:$L$140,11,FALSE))</f>
        <v>Not enough data to calculate</v>
      </c>
      <c r="E22" s="456" t="str" cm="1">
        <f t="array" ref="E22">_xlfn.IFS($B22="Not Applicable","",VLOOKUP($B22,Equipment!$A$139:$L$140,6,FALSE)=0,Equipment!$T$14,VLOOKUP($B22,Equipment!$A$139:$L$140,6,FALSE)&gt;0,VLOOKUP($B22,Equipment!$A$139:$L$140,6,FALSE))</f>
        <v>Not enough data to calculate</v>
      </c>
      <c r="F22" s="457" t="str" cm="1">
        <f t="array" ref="F22">_xlfn.IFS($B22="Not Applicable","",VLOOKUP($B22,Equipment!$A$139:$L$140,9,FALSE)=0,Equipment!$T$14,VLOOKUP($B22,Equipment!$A$139:$L$140,9,FALSE)&gt;0,TEXT(VLOOKUP(B22,Equipment!$A$139:$L$140,9,FALSE),"0")&amp;" lbs/animal/day")</f>
        <v>Not enough data to calculate</v>
      </c>
      <c r="G22" s="458" t="str" cm="1">
        <f t="array" ref="G22">_xlfn.IFS($B22="Not Applicable","",VLOOKUP($B22,Equipment!$A$139:$L$140,10,FALSE)=0,Equipment!$T$14,VLOOKUP($B22,Equipment!$A$139:$L$140,10,FALSE)&gt;0,TEXT(VLOOKUP(B22,Equipment!$A$139:$L$140,10,FALSE),"0")&amp;" animals")</f>
        <v>Not enough data to calculate</v>
      </c>
      <c r="H22" s="83"/>
      <c r="I22" s="22"/>
      <c r="J22" s="22"/>
      <c r="K22" s="22"/>
      <c r="L22" s="22"/>
      <c r="M22" s="22"/>
      <c r="N22" s="22"/>
      <c r="O22" s="22"/>
    </row>
    <row r="23" spans="1:15" ht="18">
      <c r="A23" s="452" t="s">
        <v>130</v>
      </c>
      <c r="B23" s="453" t="str">
        <f>Inputs!B76</f>
        <v>Not Applicable</v>
      </c>
      <c r="C23" s="454">
        <f>IF(NOT(ISNUMBER(INDEX(Equipment!$A$144:$L$145,MATCH(B23,Equipment!$A$144:$A$145,0),5))),0,INDEX(Equipment!$A$144:$L$145,MATCH(B23,Equipment!$A$144:$A$145,0),5))</f>
        <v>0</v>
      </c>
      <c r="D23" s="455" t="str" cm="1">
        <f t="array" ref="D23">_xlfn.IFS($B23="Not Applicable","",VLOOKUP($B23,Equipment!$A$144:$L$145,11,FALSE)=0,Equipment!$T$14,VLOOKUP($B23,Equipment!$A$144:$L$145,11,FALSE)&gt;0,VLOOKUP($B23,Equipment!$A$144:$L$145,11,FALSE))</f>
        <v/>
      </c>
      <c r="E23" s="456" t="str" cm="1">
        <f t="array" ref="E23">_xlfn.IFS($B23="Not Applicable","",VLOOKUP($B23,Equipment!$A$144:$L$145,6,FALSE)=0,Equipment!$T$14,VLOOKUP($B23,Equipment!$A$144:$L$145,6,FALSE)&gt;0,VLOOKUP($B23,Equipment!$A$144:$L$145,6,FALSE))</f>
        <v/>
      </c>
      <c r="F23" s="457" t="str" cm="1">
        <f t="array" ref="F23">_xlfn.IFS($B23="Not Applicable","",VLOOKUP($B23,Equipment!$A$144:$L$145,9,FALSE)=0,Equipment!$T$14,VLOOKUP($B23,Equipment!$A$144:$L$145,9,FALSE)&gt;0,TEXT(VLOOKUP(B23,Equipment!$A$144:$L$145,9,FALSE),"0")&amp;" lbs/animal/day")</f>
        <v/>
      </c>
      <c r="G23" s="458" t="str" cm="1">
        <f t="array" ref="G23">_xlfn.IFS($B23="Not Applicable","",VLOOKUP($B23,Equipment!$A$144:$L$145,10,FALSE)=0,Equipment!$T$14,VLOOKUP($B23,Equipment!$A$144:$L$145,10,FALSE)&gt;0,TEXT(VLOOKUP(B23,Equipment!$A$144:$L$145,10,FALSE),"0")&amp;" animals")</f>
        <v/>
      </c>
      <c r="H23" s="83"/>
      <c r="I23" s="22"/>
      <c r="J23" s="22"/>
      <c r="K23" s="22"/>
      <c r="L23" s="22"/>
      <c r="M23" s="22"/>
      <c r="N23" s="22"/>
      <c r="O23" s="22"/>
    </row>
    <row r="24" spans="1:15" ht="18">
      <c r="A24" s="452" t="s">
        <v>131</v>
      </c>
      <c r="B24" s="453" t="str">
        <f>Inputs!B77</f>
        <v>Not Applicable</v>
      </c>
      <c r="C24" s="454">
        <f>IF(NOT(ISNUMBER(INDEX(Equipment!$A$149:$L$150,MATCH(B24,Equipment!$A$149:$A$150,0),5))),0,INDEX(Equipment!$A$149:$L$150,MATCH(B24,Equipment!$A$149:$A$150,0),5))</f>
        <v>0</v>
      </c>
      <c r="D24" s="455" t="str" cm="1">
        <f t="array" ref="D24">_xlfn.IFS($B24="Not Applicable","",VLOOKUP($B24,Equipment!$A$149:$L$150,11,FALSE)=0,Equipment!$T$14,VLOOKUP($B24,Equipment!$A$149:$L$150,11,FALSE)&gt;0,VLOOKUP($B24,Equipment!$A$149:$L$150,11,FALSE))</f>
        <v/>
      </c>
      <c r="E24" s="456" t="str" cm="1">
        <f t="array" ref="E24">_xlfn.IFS($B24="Not Applicable","",VLOOKUP($B24,Equipment!$A$149:$L$150,6,FALSE)=0,Equipment!$T$14,VLOOKUP($B24,Equipment!$A$149:$L$150,6,FALSE)&gt;0,VLOOKUP($B24,Equipment!$A$149:$L$150,6,FALSE))</f>
        <v/>
      </c>
      <c r="F24" s="457" t="str" cm="1">
        <f t="array" ref="F24">_xlfn.IFS($B24="Not Applicable","",VLOOKUP($B24,Equipment!$A$149:$L$150,9,FALSE)=0,Equipment!$T$14,VLOOKUP($B24,Equipment!$A$149:$L$150,9,FALSE)&gt;0,TEXT(VLOOKUP(B24,Equipment!$A$149:$L$150,9,FALSE),"0")&amp;" lbs/animal/day")</f>
        <v/>
      </c>
      <c r="G24" s="458" t="str" cm="1">
        <f t="array" ref="G24">_xlfn.IFS($B24="Not Applicable","",VLOOKUP($B24,Equipment!$A$149:$L$150,10,FALSE)=0,Equipment!$T$14,VLOOKUP($B24,Equipment!$A$149:$L$150,10,FALSE)&gt;0,TEXT(VLOOKUP(B24,Equipment!$A$149:$L$150,10,FALSE),"0")&amp;" animals")</f>
        <v/>
      </c>
      <c r="H24" s="83"/>
      <c r="I24" s="22"/>
      <c r="J24" s="22"/>
      <c r="K24" s="22"/>
      <c r="L24" s="22"/>
      <c r="M24" s="22"/>
      <c r="N24" s="22"/>
      <c r="O24" s="22"/>
    </row>
    <row r="25" spans="1:15" ht="18">
      <c r="A25" s="452" t="s">
        <v>132</v>
      </c>
      <c r="B25" s="453" t="str">
        <f>Inputs!B78</f>
        <v>Average Open Cheese Vat</v>
      </c>
      <c r="C25" s="454">
        <f>IF(NOT(ISNUMBER(INDEX(Equipment!$A$57:$L$69,MATCH(B25,Equipment!$A$57:$A$69,0),5))),0,INDEX(Equipment!$A$57:$L$69,MATCH(B25,Equipment!$A$57:$A$69,0),5))</f>
        <v>40299.25</v>
      </c>
      <c r="D25" s="455" t="str" cm="1">
        <f t="array" ref="D25">_xlfn.IFS($B25="Not Applicable","",VLOOKUP($B25,Equipment!$A$57:$L$69,11,FALSE)=0,Equipment!$T$14,VLOOKUP($B25,Equipment!$A$57:$L$69,11,FALSE)&gt;0,VLOOKUP($B25,Equipment!$A$57:$L$69,11,FALSE))</f>
        <v>Not enough data to calculate</v>
      </c>
      <c r="E25" s="456" t="str" cm="1">
        <f t="array" ref="E25">_xlfn.IFS($B25="Not Applicable","",VLOOKUP($B25,Equipment!$A$57:$L$69,6,FALSE)=0,Equipment!$T$14,VLOOKUP($B25,Equipment!$A$57:$L$69,6,FALSE)&gt;0,VLOOKUP($B25,Equipment!$A$57:$L$69,6,FALSE))</f>
        <v>Not enough data to calculate</v>
      </c>
      <c r="F25" s="457" t="str" cm="1">
        <f t="array" ref="F25">_xlfn.IFS($B25="Not Applicable","",VLOOKUP($B25,Equipment!$A$57:$L$69,9,FALSE)=0,Equipment!$T$14,VLOOKUP($B25,Equipment!$A$57:$L$69,9,FALSE)&gt;0,TEXT(VLOOKUP(B25,Equipment!$A$57:$L$69,9,FALSE),"0")&amp;" lbs/animal/day")</f>
        <v>Not enough data to calculate</v>
      </c>
      <c r="G25" s="458" t="str" cm="1">
        <f t="array" ref="G25">_xlfn.IFS($B25="Not Applicable","",VLOOKUP($B25,Equipment!$A$57:$L$69,10,FALSE)=0,Equipment!$T$14,VLOOKUP($B25,Equipment!$A$57:$L$69,10,FALSE)&gt;0,TEXT(VLOOKUP(B25,Equipment!$A$57:$L$69,10,FALSE),"0")&amp;" animals")</f>
        <v>Not enough data to calculate</v>
      </c>
      <c r="H25" s="83"/>
      <c r="I25" s="22"/>
      <c r="J25" s="22"/>
      <c r="K25" s="22"/>
      <c r="L25" s="22"/>
      <c r="M25" s="22"/>
      <c r="N25" s="22"/>
      <c r="O25" s="22"/>
    </row>
    <row r="26" spans="1:15" ht="18">
      <c r="A26" s="452" t="s">
        <v>288</v>
      </c>
      <c r="B26" s="453" t="str">
        <f>Inputs!B79</f>
        <v>Average Batch Pasteurizer Vat Combo</v>
      </c>
      <c r="C26" s="454">
        <f>IF(NOT(ISNUMBER(INDEX(Equipment!$A$73:$L$86,MATCH(B26,Equipment!$A$73:$A$86,0),5))),0,INDEX(Equipment!$A$73:$L$86,MATCH(B26,Equipment!$A$73:$A$86,0),5))</f>
        <v>31911.07</v>
      </c>
      <c r="D26" s="455" t="str" cm="1">
        <f t="array" ref="D26">_xlfn.IFS($B26="Not Applicable","",VLOOKUP($B26,Equipment!$A$73:$L$86,11,FALSE)=0,Equipment!$T$14,VLOOKUP($B26,Equipment!$A$73:$L$86,11,FALSE)&gt;0,VLOOKUP($B26,Equipment!$A$73:$L$86,11,FALSE))</f>
        <v>Not enough data to calculate</v>
      </c>
      <c r="E26" s="456" t="str" cm="1">
        <f t="array" ref="E26">_xlfn.IFS($B26="Not Applicable","",VLOOKUP($B26,Equipment!$A$73:$L$86,6,FALSE)=0,Equipment!$T$14,VLOOKUP($B26,Equipment!$A$73:$L$86,6,FALSE)&gt;0,VLOOKUP($B26,Equipment!$A$73:$L$86,6,FALSE))</f>
        <v>Not enough data to calculate</v>
      </c>
      <c r="F26" s="457" t="str" cm="1">
        <f t="array" ref="F26">_xlfn.IFS($B26="Not Applicable","",VLOOKUP($B26,Equipment!$A$73:$L$86,9,FALSE)=0,Equipment!$T$14,VLOOKUP($B26,Equipment!$A$73:$L$86,9,FALSE)&gt;0,TEXT(VLOOKUP(B26,Equipment!$A$73:$L$86,9,FALSE),"0")&amp;" lbs/animal/day")</f>
        <v>Not enough data to calculate</v>
      </c>
      <c r="G26" s="458" t="str" cm="1">
        <f t="array" ref="G26">_xlfn.IFS($B26="Not Applicable","",VLOOKUP($B26,Equipment!$A$73:$L$86,10,FALSE)=0,Equipment!$T$14,VLOOKUP($B26,Equipment!$A$73:$L$86,10,FALSE)&gt;0,TEXT(VLOOKUP(B26,Equipment!$A$73:$L$86,10,FALSE),"0")&amp;" animals")</f>
        <v>Not enough data to calculate</v>
      </c>
      <c r="H26" s="83"/>
      <c r="I26" s="22"/>
      <c r="J26" s="22"/>
      <c r="K26" s="22"/>
      <c r="L26" s="22"/>
      <c r="M26" s="22"/>
      <c r="N26" s="22"/>
      <c r="O26" s="22"/>
    </row>
    <row r="27" spans="1:15" ht="18">
      <c r="A27" s="452" t="s">
        <v>145</v>
      </c>
      <c r="B27" s="453" t="str">
        <f>Inputs!B80</f>
        <v>Not Applicable</v>
      </c>
      <c r="C27" s="454">
        <f>IF(NOT(ISNUMBER(INDEX(Equipment!$A$22:$L$39,MATCH(B27,Equipment!$A$22:$A$39,0),5))),0,INDEX(Equipment!$A$22:$L$39,MATCH(B27,Equipment!$A$22:$A$39,0),5))</f>
        <v>0</v>
      </c>
      <c r="D27" s="455" t="str" cm="1">
        <f t="array" ref="D27">_xlfn.IFS($B27="Not Applicable","",VLOOKUP($B27,Equipment!$A$22:$L$39,11,FALSE)=0,Equipment!$T$14,VLOOKUP($B27,Equipment!$A$22:$L$39,11,FALSE)&gt;0,VLOOKUP($B27,Equipment!$A$22:$L$39,11,FALSE))</f>
        <v/>
      </c>
      <c r="E27" s="456" t="str" cm="1">
        <f t="array" ref="E27">_xlfn.IFS($B27="Not Applicable","",VLOOKUP($B27,Equipment!$A$22:$L$39,6,FALSE)=0,Equipment!$T$14,VLOOKUP($B27,Equipment!$A$22:$L$39,6,FALSE)&gt;0,VLOOKUP($B27,Equipment!$A$22:$L$39,6,FALSE))</f>
        <v/>
      </c>
      <c r="F27" s="457" t="str" cm="1">
        <f t="array" ref="F27">_xlfn.IFS($B27="Not Applicable","",VLOOKUP($B27,Equipment!$A$22:$L$39,9,FALSE)=0,Equipment!$T$14,VLOOKUP($B27,Equipment!$A$22:$L$39,9,FALSE)&gt;0,TEXT(VLOOKUP(B27,Equipment!$A$22:$L$39,9,FALSE),"0")&amp;" lbs/animal/day")</f>
        <v/>
      </c>
      <c r="G27" s="458" t="str" cm="1">
        <f t="array" ref="G27">_xlfn.IFS($B27="Not Applicable","",VLOOKUP($B27,Equipment!$A$22:$L$39,10,FALSE)=0,Equipment!$T$14,VLOOKUP($B27,Equipment!$A$22:$L$39,10,FALSE)&gt;0,TEXT(VLOOKUP(B27,Equipment!$A$22:$L$39,10,FALSE),"0")&amp;" animals")</f>
        <v/>
      </c>
      <c r="H27" s="83"/>
      <c r="I27" s="22"/>
      <c r="J27" s="22"/>
      <c r="K27" s="22"/>
      <c r="L27" s="22"/>
      <c r="M27" s="22"/>
      <c r="N27" s="22"/>
      <c r="O27" s="22"/>
    </row>
    <row r="28" spans="1:15" ht="18">
      <c r="A28" s="452" t="s">
        <v>137</v>
      </c>
      <c r="B28" s="453" t="str">
        <f>Inputs!B81</f>
        <v>Not Applicable</v>
      </c>
      <c r="C28" s="454">
        <f>IF(NOT(ISNUMBER(INDEX(Equipment!$A$43:$L$53,MATCH(B28,Equipment!$A$43:$A$53,0),5))),0,INDEX(Equipment!$A$43:$L$53,MATCH(B28,Equipment!$A$43:$A$53,0),5))</f>
        <v>0</v>
      </c>
      <c r="D28" s="455" t="str" cm="1">
        <f t="array" ref="D28">_xlfn.IFS($B28="Not Applicable","",VLOOKUP($B28,Equipment!$A$43:$L$53,11,FALSE)=0,Equipment!$T$14,VLOOKUP($B28,Equipment!$A$43:$L$53,11,FALSE)&gt;0,VLOOKUP($B28,Equipment!$A$43:$L$53,11,FALSE))</f>
        <v/>
      </c>
      <c r="E28" s="456" t="str" cm="1">
        <f t="array" ref="E28">_xlfn.IFS($B28="Not Applicable","",VLOOKUP($B28,Equipment!$A$43:$L$53,6,FALSE)=0,Equipment!$T$14,VLOOKUP($B28,Equipment!$A$43:$L$53,6,FALSE)&gt;0,VLOOKUP($B28,Equipment!$A$43:$L$53,6,FALSE))</f>
        <v/>
      </c>
      <c r="F28" s="457" t="str" cm="1">
        <f t="array" ref="F28">_xlfn.IFS($B28="Not Applicable","",VLOOKUP($B28,Equipment!$A$43:$L$53,9,FALSE)=0,Equipment!$T$14,VLOOKUP($B28,Equipment!$A$43:$L$53,9,FALSE)&gt;0,TEXT(VLOOKUP(B28,Equipment!$A$43:$L$53,9,FALSE),"0")&amp;" lbs/animal/day")</f>
        <v/>
      </c>
      <c r="G28" s="458" t="str" cm="1">
        <f t="array" ref="G28">_xlfn.IFS($B28="Not Applicable","",VLOOKUP($B28,Equipment!$A$43:$L$53,10,FALSE)=0,Equipment!$T$14,VLOOKUP($B28,Equipment!$A$43:$L$53,10,FALSE)&gt;0,TEXT(VLOOKUP(B28,Equipment!$A$43:$L$53,10,FALSE),"0")&amp;" animals")</f>
        <v/>
      </c>
      <c r="H28" s="83"/>
      <c r="I28" s="22"/>
      <c r="J28" s="22"/>
      <c r="K28" s="22"/>
      <c r="L28" s="22"/>
      <c r="M28" s="22"/>
      <c r="N28" s="22"/>
      <c r="O28" s="22"/>
    </row>
    <row r="29" spans="1:15" ht="18">
      <c r="A29" s="459" t="s">
        <v>138</v>
      </c>
      <c r="B29" s="453" t="str">
        <f>Inputs!B82</f>
        <v>Not Applicable</v>
      </c>
      <c r="C29" s="460">
        <f>IF(NOT(ISNUMBER(INDEX(Equipment!$A$104:$L$105,MATCH(B29,Equipment!$A$104:$A$105,0),5))),0,INDEX(Equipment!$A$104:$L$105,MATCH(B29,Equipment!$A$104:$A$105,0),5))</f>
        <v>0</v>
      </c>
      <c r="D29" s="461" t="str" cm="1">
        <f t="array" ref="D29">_xlfn.IFS($B29="Not Applicable","",VLOOKUP($B29,Equipment!$A$104:$L$105,11,FALSE)=0,Equipment!$T$14,VLOOKUP($B29,Equipment!$A$104:$L$105,11,FALSE)&gt;0,VLOOKUP($B29,Equipment!$A$104:$L$105,11,FALSE))</f>
        <v/>
      </c>
      <c r="E29" s="462" t="str" cm="1">
        <f t="array" ref="E29">_xlfn.IFS($B29="Not Applicable","",VLOOKUP($B29,Equipment!$A$104:$L$105,6,FALSE)=0,Equipment!$T$14,VLOOKUP($B29,Equipment!$A$104:$L$105,6,FALSE)&gt;0,VLOOKUP($B29,Equipment!$A$104:$L$105,6,FALSE))</f>
        <v/>
      </c>
      <c r="F29" s="463" t="str" cm="1">
        <f t="array" ref="F29">_xlfn.IFS($B29="Not Applicable","",VLOOKUP($B29,Equipment!$A$104:$L$105,9,FALSE)=0,Equipment!$T$14,VLOOKUP($B29,Equipment!$A$104:$L$105,9,FALSE)&gt;0,TEXT(VLOOKUP(B29,Equipment!$A$104:$L$105,9,FALSE),"0")&amp;" lbs/animal/day")</f>
        <v/>
      </c>
      <c r="G29" s="464" t="str" cm="1">
        <f t="array" ref="G29">_xlfn.IFS($B29="Not Applicable","",VLOOKUP($B29,Equipment!$A$104:$L$105,10,FALSE)=0,Equipment!$T$14,VLOOKUP($B29,Equipment!$A$104:$L$105,10,FALSE)&gt;0,TEXT(VLOOKUP(B29,Equipment!$A$104:$L$105,10,FALSE),"0")&amp;" animals")</f>
        <v/>
      </c>
      <c r="H29" s="83"/>
      <c r="I29" s="22"/>
      <c r="J29" s="22"/>
      <c r="K29" s="22"/>
      <c r="L29" s="22"/>
      <c r="M29" s="22"/>
      <c r="N29" s="22"/>
      <c r="O29" s="22"/>
    </row>
    <row r="30" spans="1:15" ht="18">
      <c r="A30" s="465" t="s">
        <v>289</v>
      </c>
      <c r="B30" s="466">
        <f>SUM(C13:C29)</f>
        <v>124611.57999999999</v>
      </c>
      <c r="C30" s="467" t="s">
        <v>290</v>
      </c>
      <c r="D30" s="468">
        <f>NPV_New!G31</f>
        <v>4.2047044654479118</v>
      </c>
      <c r="E30" s="83"/>
      <c r="F30" s="83"/>
      <c r="G30" s="83"/>
      <c r="H30" s="83"/>
      <c r="I30" s="22"/>
      <c r="J30" s="22"/>
      <c r="K30" s="22"/>
      <c r="L30" s="22"/>
      <c r="M30" s="22"/>
      <c r="N30" s="22"/>
      <c r="O30" s="22"/>
    </row>
    <row r="31" spans="1:15" ht="18">
      <c r="A31" s="465" t="s">
        <v>291</v>
      </c>
      <c r="B31" s="466">
        <f>SUM(Inputs!B85:B145)</f>
        <v>772432.46000000008</v>
      </c>
      <c r="C31" s="467" t="s">
        <v>292</v>
      </c>
      <c r="D31" s="469">
        <f>NPV_New!G29</f>
        <v>2479531.9086413058</v>
      </c>
      <c r="E31" s="83"/>
      <c r="F31" s="83"/>
      <c r="G31" s="83"/>
      <c r="H31" s="83"/>
      <c r="I31" s="22"/>
      <c r="J31" s="22"/>
      <c r="K31" s="22"/>
      <c r="L31" s="22"/>
      <c r="M31" s="22"/>
      <c r="N31" s="22"/>
      <c r="O31" s="22"/>
    </row>
    <row r="32" spans="1:15" ht="18">
      <c r="A32" s="465" t="s">
        <v>293</v>
      </c>
      <c r="B32" s="466">
        <f>SUM(B30:B31)+NPV_New!B3</f>
        <v>1047044.04</v>
      </c>
      <c r="C32" s="467" t="s">
        <v>294</v>
      </c>
      <c r="D32" s="354">
        <f>NPV_New!G32</f>
        <v>0.35320590543266772</v>
      </c>
      <c r="E32" s="83"/>
      <c r="F32" s="83"/>
      <c r="G32" s="83"/>
      <c r="H32" s="83"/>
      <c r="I32" s="22"/>
      <c r="J32" s="22"/>
      <c r="K32" s="22"/>
      <c r="L32" s="22"/>
      <c r="M32" s="22"/>
      <c r="N32" s="22"/>
      <c r="O32" s="22"/>
    </row>
    <row r="33" spans="1:38" ht="18">
      <c r="A33" s="465" t="s">
        <v>295</v>
      </c>
      <c r="B33" s="470">
        <f>SUM(D13:D29)</f>
        <v>0</v>
      </c>
      <c r="C33" s="467"/>
      <c r="D33" s="83"/>
      <c r="E33" s="83"/>
      <c r="F33" s="83"/>
      <c r="G33" s="83"/>
      <c r="H33" s="83"/>
      <c r="I33" s="22"/>
      <c r="J33" s="22"/>
      <c r="K33" s="22"/>
      <c r="L33" s="22"/>
      <c r="M33" s="22"/>
      <c r="N33" s="22"/>
      <c r="O33" s="22"/>
    </row>
    <row r="34" spans="1:38" ht="18">
      <c r="A34" s="64"/>
      <c r="B34" s="101"/>
      <c r="C34" s="83"/>
      <c r="D34" s="83"/>
      <c r="E34" s="83"/>
      <c r="F34" s="83"/>
      <c r="G34" s="83"/>
      <c r="H34" s="83"/>
      <c r="I34" s="22"/>
      <c r="J34" s="22"/>
      <c r="K34" s="22"/>
      <c r="L34" s="22"/>
      <c r="M34" s="22"/>
      <c r="N34" s="22"/>
      <c r="O34" s="22"/>
    </row>
    <row r="35" spans="1:38" ht="18">
      <c r="A35" s="83"/>
      <c r="B35" s="83"/>
      <c r="C35" s="83"/>
      <c r="D35" s="83"/>
      <c r="E35" s="83"/>
      <c r="F35" s="83"/>
      <c r="G35" s="83"/>
      <c r="H35" s="83"/>
      <c r="I35" s="22"/>
      <c r="J35" s="22"/>
      <c r="K35" s="22"/>
      <c r="L35" s="22"/>
      <c r="M35" s="2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row>
    <row r="36" spans="1:38" ht="18">
      <c r="A36" s="83"/>
      <c r="B36" s="83"/>
      <c r="C36" s="83"/>
      <c r="D36" s="83"/>
      <c r="E36" s="83"/>
      <c r="F36" s="83"/>
      <c r="G36" s="83"/>
      <c r="H36" s="83"/>
      <c r="I36" s="22"/>
      <c r="J36" s="22"/>
      <c r="K36" s="22"/>
      <c r="L36" s="22"/>
      <c r="M36" s="22"/>
      <c r="N36" s="22"/>
      <c r="O36" s="22"/>
      <c r="P36" s="22"/>
      <c r="Q36" s="22"/>
      <c r="R36" s="22"/>
      <c r="S36" s="22"/>
      <c r="T36" s="22"/>
      <c r="U36" s="22"/>
      <c r="V36" s="22"/>
      <c r="W36" s="22"/>
      <c r="X36" s="22"/>
      <c r="Y36" s="22"/>
      <c r="Z36" s="22"/>
      <c r="AA36" s="22"/>
      <c r="AB36" s="22"/>
      <c r="AC36" s="22"/>
      <c r="AD36" s="22"/>
      <c r="AE36" s="22"/>
      <c r="AF36" s="22"/>
      <c r="AG36" s="22"/>
      <c r="AH36" s="22"/>
      <c r="AI36" s="22"/>
      <c r="AJ36" s="22"/>
      <c r="AK36" s="22"/>
      <c r="AL36" s="22"/>
    </row>
    <row r="37" spans="1:38" ht="23.45" customHeight="1">
      <c r="A37" s="444"/>
      <c r="B37" s="444"/>
      <c r="C37" s="444"/>
      <c r="D37" s="444"/>
      <c r="E37" s="444"/>
      <c r="F37" s="444"/>
      <c r="G37" s="444"/>
      <c r="H37" s="22"/>
      <c r="I37" s="22"/>
      <c r="J37" s="22"/>
      <c r="K37" s="22"/>
      <c r="L37" s="22"/>
      <c r="M37" s="22"/>
      <c r="N37" s="22"/>
      <c r="O37" s="22"/>
      <c r="P37" s="22"/>
      <c r="Q37" s="22"/>
      <c r="R37" s="22"/>
      <c r="S37" s="22"/>
      <c r="T37" s="22"/>
      <c r="U37" s="22"/>
      <c r="V37" s="22"/>
      <c r="W37" s="22"/>
      <c r="X37" s="22"/>
      <c r="Y37" s="22"/>
      <c r="Z37" s="22"/>
      <c r="AA37" s="22"/>
      <c r="AB37" s="22"/>
      <c r="AC37" s="22"/>
      <c r="AD37" s="22"/>
      <c r="AE37" s="22"/>
      <c r="AF37" s="22"/>
      <c r="AG37" s="22"/>
      <c r="AH37" s="22"/>
      <c r="AI37" s="22"/>
      <c r="AJ37" s="22"/>
      <c r="AK37" s="22"/>
      <c r="AL37" s="22"/>
    </row>
    <row r="38" spans="1:38" ht="18">
      <c r="A38" s="445"/>
      <c r="B38" s="86"/>
      <c r="C38" s="86"/>
      <c r="D38" s="84"/>
      <c r="E38" s="84"/>
      <c r="F38" s="447"/>
      <c r="G38" s="447"/>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row>
    <row r="39" spans="1:38" ht="23.45">
      <c r="A39" s="443"/>
      <c r="B39" s="85"/>
      <c r="C39" s="85"/>
      <c r="D39" s="85"/>
      <c r="E39" s="85"/>
      <c r="F39" s="443"/>
      <c r="G39" s="443"/>
      <c r="H39" s="22"/>
      <c r="I39" s="22"/>
      <c r="J39" s="22"/>
      <c r="K39" s="22"/>
      <c r="L39" s="22"/>
      <c r="M39" s="22"/>
      <c r="N39" s="22"/>
      <c r="O39" s="22"/>
      <c r="P39" s="22"/>
      <c r="Q39" s="22"/>
      <c r="R39" s="22"/>
      <c r="S39" s="22"/>
      <c r="T39" s="22"/>
      <c r="U39" s="22"/>
      <c r="V39" s="22"/>
      <c r="W39" s="22"/>
      <c r="X39" s="22"/>
      <c r="Y39" s="22"/>
      <c r="Z39" s="22"/>
      <c r="AA39" s="22"/>
      <c r="AB39" s="22"/>
      <c r="AC39" s="22"/>
      <c r="AD39" s="22"/>
      <c r="AE39" s="22"/>
      <c r="AF39" s="22"/>
      <c r="AG39" s="22"/>
      <c r="AH39" s="22"/>
      <c r="AI39" s="22"/>
      <c r="AJ39" s="22"/>
      <c r="AK39" s="22"/>
      <c r="AL39" s="22"/>
    </row>
    <row r="40" spans="1:38" ht="18">
      <c r="A40" s="446"/>
      <c r="B40" s="84"/>
      <c r="C40" s="84"/>
      <c r="D40" s="84"/>
      <c r="E40" s="84"/>
      <c r="F40" s="447"/>
      <c r="G40" s="447"/>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c r="AG40" s="22"/>
      <c r="AH40" s="22"/>
      <c r="AI40" s="22"/>
      <c r="AJ40" s="22"/>
      <c r="AK40" s="22"/>
      <c r="AL40" s="22"/>
    </row>
    <row r="41" spans="1:38" ht="18">
      <c r="A41" s="446"/>
      <c r="B41" s="446"/>
      <c r="C41" s="446"/>
      <c r="D41" s="446"/>
      <c r="E41" s="446"/>
      <c r="F41" s="447"/>
      <c r="G41" s="447"/>
      <c r="H41" s="22"/>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2"/>
      <c r="AH41" s="22"/>
      <c r="AI41" s="22"/>
      <c r="AJ41" s="22"/>
      <c r="AK41" s="22"/>
      <c r="AL41" s="22"/>
    </row>
    <row r="42" spans="1:38" ht="18">
      <c r="A42" s="83"/>
      <c r="B42" s="83"/>
      <c r="C42" s="83"/>
      <c r="D42" s="83"/>
      <c r="E42" s="83"/>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2"/>
      <c r="AH42" s="22"/>
      <c r="AI42" s="22"/>
      <c r="AJ42" s="22"/>
      <c r="AK42" s="22"/>
      <c r="AL42" s="22"/>
    </row>
    <row r="43" spans="1:38" ht="23.45">
      <c r="A43" s="500" t="s">
        <v>275</v>
      </c>
      <c r="B43" s="500"/>
      <c r="C43" s="500"/>
      <c r="D43" s="500"/>
      <c r="E43" s="500"/>
      <c r="F43" s="500"/>
      <c r="G43" s="500"/>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c r="AI43" s="22"/>
      <c r="AJ43" s="22"/>
      <c r="AK43" s="22"/>
      <c r="AL43" s="22"/>
    </row>
    <row r="44" spans="1:38" ht="18">
      <c r="A44" s="402"/>
      <c r="B44" s="82"/>
      <c r="C44" s="82"/>
      <c r="D44" s="82"/>
      <c r="E44" s="402"/>
      <c r="F44" s="448"/>
      <c r="G44" s="448"/>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2"/>
      <c r="AH44" s="22"/>
      <c r="AI44" s="22"/>
      <c r="AJ44" s="22"/>
      <c r="AK44" s="22"/>
      <c r="AL44" s="22"/>
    </row>
    <row r="45" spans="1:38" ht="18">
      <c r="A45" s="402"/>
      <c r="B45" s="82"/>
      <c r="C45" s="82"/>
      <c r="D45" s="82"/>
      <c r="E45" s="402"/>
      <c r="F45" s="448"/>
      <c r="G45" s="448"/>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2"/>
      <c r="AG45" s="22"/>
      <c r="AH45" s="22"/>
      <c r="AI45" s="22"/>
      <c r="AJ45" s="22"/>
      <c r="AK45" s="22"/>
      <c r="AL45" s="22"/>
    </row>
    <row r="46" spans="1:38" ht="18">
      <c r="A46" s="402"/>
      <c r="B46" s="82"/>
      <c r="C46" s="82"/>
      <c r="D46" s="82"/>
      <c r="E46" s="402"/>
      <c r="F46" s="448"/>
      <c r="G46" s="448"/>
      <c r="H46" s="22"/>
      <c r="I46" s="22"/>
      <c r="J46" s="22"/>
      <c r="K46" s="22"/>
      <c r="L46" s="22"/>
      <c r="M46" s="22"/>
      <c r="N46" s="22"/>
      <c r="O46" s="22"/>
      <c r="P46" s="22"/>
      <c r="Q46" s="22"/>
      <c r="R46" s="22"/>
      <c r="S46" s="22"/>
      <c r="T46" s="22"/>
      <c r="U46" s="22"/>
      <c r="V46" s="22"/>
      <c r="W46" s="22"/>
      <c r="X46" s="22"/>
      <c r="Y46" s="22"/>
      <c r="Z46" s="22"/>
      <c r="AA46" s="22"/>
      <c r="AB46" s="22"/>
      <c r="AC46" s="22"/>
      <c r="AD46" s="22"/>
      <c r="AE46" s="22"/>
      <c r="AF46" s="22"/>
      <c r="AG46" s="22"/>
      <c r="AH46" s="22"/>
      <c r="AI46" s="22"/>
      <c r="AJ46" s="22"/>
      <c r="AK46" s="22"/>
      <c r="AL46" s="22"/>
    </row>
    <row r="47" spans="1:38">
      <c r="A47" s="22"/>
      <c r="B47" s="22"/>
      <c r="C47" s="22"/>
      <c r="D47" s="22"/>
      <c r="E47" s="22"/>
      <c r="F47" s="22"/>
      <c r="G47" s="22"/>
      <c r="H47" s="22"/>
      <c r="I47" s="22"/>
      <c r="J47" s="22"/>
      <c r="K47" s="22"/>
      <c r="L47" s="22"/>
      <c r="M47" s="22"/>
      <c r="N47" s="22"/>
      <c r="O47" s="22"/>
      <c r="P47" s="22"/>
      <c r="Q47" s="22"/>
      <c r="R47" s="22"/>
      <c r="S47" s="22"/>
      <c r="T47" s="22"/>
      <c r="U47" s="22"/>
      <c r="V47" s="22"/>
      <c r="W47" s="22"/>
      <c r="X47" s="22"/>
      <c r="Y47" s="22"/>
      <c r="Z47" s="22"/>
      <c r="AA47" s="22"/>
      <c r="AB47" s="22"/>
      <c r="AC47" s="22"/>
      <c r="AD47" s="22"/>
      <c r="AE47" s="22"/>
      <c r="AF47" s="22"/>
      <c r="AG47" s="22"/>
      <c r="AH47" s="22"/>
      <c r="AI47" s="22"/>
      <c r="AJ47" s="22"/>
      <c r="AK47" s="22"/>
      <c r="AL47" s="22"/>
    </row>
    <row r="48" spans="1:38">
      <c r="A48" s="22"/>
      <c r="B48" s="22"/>
      <c r="C48" s="22"/>
      <c r="D48" s="22"/>
      <c r="E48" s="22"/>
      <c r="F48" s="22"/>
      <c r="G48" s="22"/>
      <c r="H48" s="22"/>
      <c r="I48" s="22"/>
      <c r="J48" s="22"/>
      <c r="K48" s="22"/>
      <c r="L48" s="22"/>
      <c r="M48" s="22"/>
      <c r="N48" s="22"/>
      <c r="O48" s="22"/>
      <c r="P48" s="22"/>
      <c r="Q48" s="22"/>
    </row>
    <row r="49" spans="1:17">
      <c r="A49" s="22"/>
      <c r="B49" s="22"/>
      <c r="C49" s="22"/>
      <c r="D49" s="22"/>
      <c r="E49" s="22"/>
      <c r="F49" s="22"/>
      <c r="G49" s="22"/>
      <c r="H49" s="22"/>
      <c r="I49" s="22"/>
      <c r="J49" s="22"/>
      <c r="K49" s="22"/>
      <c r="L49" s="22"/>
      <c r="M49" s="22"/>
      <c r="N49" s="22"/>
      <c r="O49" s="22"/>
      <c r="P49" s="22"/>
      <c r="Q49" s="22"/>
    </row>
    <row r="50" spans="1:17">
      <c r="A50" s="22"/>
      <c r="B50" s="22"/>
      <c r="C50" s="22"/>
      <c r="D50" s="22"/>
      <c r="E50" s="22"/>
      <c r="F50" s="22"/>
      <c r="G50" s="22"/>
      <c r="H50" s="22"/>
      <c r="I50" s="22"/>
      <c r="J50" s="22"/>
      <c r="K50" s="22"/>
      <c r="L50" s="22"/>
      <c r="M50" s="22"/>
      <c r="N50" s="22"/>
      <c r="O50" s="22"/>
      <c r="P50" s="22"/>
      <c r="Q50" s="22"/>
    </row>
    <row r="51" spans="1:17">
      <c r="A51" s="22"/>
      <c r="B51" s="22"/>
      <c r="C51" s="22"/>
      <c r="D51" s="22"/>
      <c r="E51" s="22"/>
      <c r="F51" s="22"/>
      <c r="G51" s="22"/>
      <c r="H51" s="22"/>
      <c r="I51" s="22"/>
      <c r="J51" s="22"/>
      <c r="K51" s="22"/>
      <c r="L51" s="22"/>
      <c r="M51" s="22"/>
      <c r="N51" s="22"/>
      <c r="O51" s="22"/>
      <c r="P51" s="22"/>
      <c r="Q51" s="22"/>
    </row>
    <row r="52" spans="1:17">
      <c r="A52" s="22"/>
      <c r="B52" s="22"/>
      <c r="C52" s="22"/>
      <c r="D52" s="22"/>
      <c r="E52" s="22"/>
      <c r="F52" s="22"/>
      <c r="G52" s="22"/>
      <c r="H52" s="22"/>
      <c r="I52" s="22"/>
      <c r="J52" s="22"/>
      <c r="K52" s="22"/>
      <c r="L52" s="22"/>
      <c r="M52" s="22"/>
      <c r="N52" s="22"/>
      <c r="O52" s="22"/>
      <c r="P52" s="22"/>
      <c r="Q52" s="22"/>
    </row>
    <row r="53" spans="1:17">
      <c r="A53" s="22"/>
      <c r="B53" s="22"/>
      <c r="C53" s="22"/>
      <c r="D53" s="22"/>
      <c r="E53" s="22"/>
      <c r="F53" s="22"/>
      <c r="G53" s="22"/>
      <c r="H53" s="22"/>
      <c r="I53" s="22"/>
      <c r="J53" s="22"/>
      <c r="K53" s="22"/>
      <c r="L53" s="22"/>
      <c r="M53" s="22"/>
      <c r="N53" s="22"/>
      <c r="O53" s="22"/>
      <c r="P53" s="22"/>
      <c r="Q53" s="22"/>
    </row>
    <row r="54" spans="1:17">
      <c r="A54" s="22"/>
      <c r="B54" s="22"/>
      <c r="C54" s="22"/>
      <c r="D54" s="22"/>
      <c r="E54" s="22"/>
      <c r="F54" s="22"/>
      <c r="G54" s="22"/>
      <c r="H54" s="22"/>
      <c r="I54" s="22"/>
      <c r="J54" s="22"/>
      <c r="K54" s="22"/>
      <c r="L54" s="22"/>
      <c r="M54" s="22"/>
      <c r="N54" s="22"/>
      <c r="O54" s="22"/>
      <c r="P54" s="22"/>
      <c r="Q54" s="22"/>
    </row>
    <row r="55" spans="1:17">
      <c r="A55" s="22"/>
      <c r="B55" s="22"/>
      <c r="C55" s="22"/>
      <c r="D55" s="22"/>
      <c r="E55" s="22"/>
      <c r="F55" s="22"/>
      <c r="G55" s="22"/>
      <c r="H55" s="22"/>
      <c r="I55" s="22"/>
      <c r="J55" s="22"/>
      <c r="K55" s="22"/>
      <c r="L55" s="22"/>
      <c r="M55" s="22"/>
      <c r="N55" s="22"/>
      <c r="O55" s="22"/>
      <c r="P55" s="22"/>
      <c r="Q55" s="22"/>
    </row>
    <row r="56" spans="1:17">
      <c r="A56" s="22"/>
      <c r="B56" s="22"/>
      <c r="C56" s="22"/>
      <c r="D56" s="22"/>
      <c r="E56" s="22"/>
      <c r="F56" s="22"/>
      <c r="G56" s="22"/>
      <c r="H56" s="22"/>
      <c r="I56" s="22"/>
      <c r="J56" s="22"/>
      <c r="K56" s="22"/>
      <c r="L56" s="22"/>
      <c r="M56" s="22"/>
      <c r="N56" s="22"/>
      <c r="O56" s="22"/>
      <c r="P56" s="22"/>
      <c r="Q56" s="22"/>
    </row>
    <row r="57" spans="1:17">
      <c r="A57" s="22"/>
      <c r="B57" s="22"/>
      <c r="C57" s="22"/>
      <c r="D57" s="22"/>
      <c r="E57" s="22"/>
      <c r="F57" s="22"/>
      <c r="G57" s="22"/>
      <c r="H57" s="22"/>
      <c r="I57" s="22"/>
      <c r="J57" s="22"/>
      <c r="K57" s="22"/>
      <c r="L57" s="22"/>
      <c r="M57" s="22"/>
      <c r="N57" s="22"/>
      <c r="O57" s="22"/>
      <c r="P57" s="22"/>
      <c r="Q57" s="22"/>
    </row>
    <row r="58" spans="1:17">
      <c r="A58" s="22"/>
      <c r="B58" s="22"/>
      <c r="C58" s="22"/>
      <c r="D58" s="22"/>
      <c r="E58" s="22"/>
      <c r="F58" s="22"/>
      <c r="G58" s="22"/>
      <c r="H58" s="22"/>
      <c r="I58" s="22"/>
      <c r="J58" s="22"/>
      <c r="K58" s="22"/>
      <c r="L58" s="22"/>
      <c r="M58" s="22"/>
      <c r="N58" s="22"/>
      <c r="O58" s="22"/>
      <c r="P58" s="22"/>
      <c r="Q58" s="22"/>
    </row>
    <row r="59" spans="1:17">
      <c r="A59" s="22"/>
      <c r="B59" s="22"/>
      <c r="C59" s="22"/>
      <c r="D59" s="22"/>
      <c r="E59" s="22"/>
      <c r="F59" s="22"/>
      <c r="G59" s="22"/>
      <c r="H59" s="22"/>
      <c r="I59" s="22"/>
      <c r="J59" s="22"/>
      <c r="K59" s="22"/>
      <c r="L59" s="22"/>
      <c r="M59" s="22"/>
      <c r="N59" s="22"/>
      <c r="O59" s="22"/>
      <c r="P59" s="22"/>
      <c r="Q59" s="22"/>
    </row>
    <row r="60" spans="1:17">
      <c r="A60" s="22"/>
      <c r="B60" s="22"/>
      <c r="C60" s="22"/>
      <c r="D60" s="22"/>
      <c r="E60" s="22"/>
      <c r="F60" s="22"/>
      <c r="G60" s="22"/>
      <c r="H60" s="22"/>
      <c r="I60" s="22"/>
      <c r="J60" s="22"/>
      <c r="K60" s="22"/>
      <c r="L60" s="22"/>
      <c r="M60" s="22"/>
      <c r="N60" s="22"/>
      <c r="O60" s="22"/>
      <c r="P60" s="22"/>
      <c r="Q60" s="22"/>
    </row>
    <row r="61" spans="1:17">
      <c r="A61" s="22"/>
      <c r="B61" s="22"/>
      <c r="C61" s="22"/>
      <c r="D61" s="22"/>
      <c r="E61" s="22"/>
      <c r="F61" s="22"/>
      <c r="G61" s="22"/>
      <c r="H61" s="22"/>
      <c r="I61" s="22"/>
      <c r="J61" s="22"/>
      <c r="K61" s="22"/>
      <c r="L61" s="22"/>
      <c r="M61" s="22"/>
      <c r="N61" s="22"/>
      <c r="O61" s="22"/>
      <c r="P61" s="22"/>
      <c r="Q61" s="22"/>
    </row>
    <row r="62" spans="1:17">
      <c r="A62" s="22"/>
      <c r="B62" s="22"/>
      <c r="C62" s="22"/>
      <c r="D62" s="22"/>
      <c r="E62" s="22"/>
      <c r="F62" s="22"/>
      <c r="G62" s="22"/>
      <c r="H62" s="22"/>
      <c r="I62" s="22"/>
      <c r="J62" s="22"/>
      <c r="K62" s="22"/>
      <c r="L62" s="22"/>
      <c r="M62" s="22"/>
      <c r="N62" s="22"/>
      <c r="O62" s="22"/>
      <c r="P62" s="22"/>
      <c r="Q62" s="22"/>
    </row>
    <row r="63" spans="1:17">
      <c r="A63" s="22"/>
      <c r="B63" s="22"/>
      <c r="C63" s="22"/>
      <c r="D63" s="22"/>
      <c r="E63" s="22"/>
      <c r="F63" s="22"/>
      <c r="G63" s="22"/>
      <c r="H63" s="22"/>
      <c r="I63" s="22"/>
      <c r="J63" s="22"/>
      <c r="K63" s="22"/>
      <c r="L63" s="22"/>
      <c r="M63" s="22"/>
      <c r="N63" s="22"/>
      <c r="O63" s="22"/>
      <c r="P63" s="22"/>
      <c r="Q63" s="22"/>
    </row>
    <row r="64" spans="1:17">
      <c r="A64" s="22"/>
      <c r="B64" s="22"/>
      <c r="C64" s="22"/>
      <c r="D64" s="22"/>
      <c r="E64" s="22"/>
      <c r="F64" s="22"/>
      <c r="G64" s="22"/>
      <c r="H64" s="22"/>
      <c r="I64" s="22"/>
      <c r="J64" s="22"/>
      <c r="K64" s="22"/>
      <c r="L64" s="22"/>
      <c r="M64" s="22"/>
      <c r="N64" s="22"/>
      <c r="O64" s="22"/>
      <c r="P64" s="22"/>
      <c r="Q64" s="22"/>
    </row>
    <row r="65" spans="1:17">
      <c r="A65" s="22"/>
      <c r="B65" s="22"/>
      <c r="C65" s="22"/>
      <c r="D65" s="22"/>
      <c r="E65" s="22"/>
      <c r="F65" s="22"/>
      <c r="G65" s="22"/>
      <c r="H65" s="22"/>
      <c r="I65" s="22"/>
      <c r="J65" s="22"/>
      <c r="K65" s="22"/>
      <c r="L65" s="22"/>
      <c r="M65" s="22"/>
      <c r="N65" s="22"/>
      <c r="O65" s="22"/>
      <c r="P65" s="22"/>
      <c r="Q65" s="22"/>
    </row>
    <row r="66" spans="1:17">
      <c r="A66" s="22"/>
      <c r="B66" s="22"/>
      <c r="C66" s="22"/>
      <c r="D66" s="22"/>
      <c r="E66" s="22"/>
      <c r="F66" s="22"/>
      <c r="G66" s="22"/>
      <c r="H66" s="22"/>
      <c r="I66" s="22"/>
      <c r="J66" s="22"/>
      <c r="K66" s="22"/>
      <c r="L66" s="22"/>
      <c r="M66" s="22"/>
      <c r="N66" s="22"/>
      <c r="O66" s="22"/>
      <c r="P66" s="22"/>
      <c r="Q66" s="22"/>
    </row>
    <row r="67" spans="1:17">
      <c r="A67" s="22"/>
      <c r="B67" s="22"/>
      <c r="C67" s="22"/>
      <c r="D67" s="22"/>
      <c r="E67" s="22"/>
      <c r="F67" s="22"/>
      <c r="G67" s="22"/>
      <c r="H67" s="22"/>
      <c r="I67" s="22"/>
      <c r="J67" s="22"/>
      <c r="K67" s="22"/>
      <c r="L67" s="22"/>
      <c r="M67" s="22"/>
      <c r="N67" s="22"/>
      <c r="O67" s="22"/>
      <c r="P67" s="22"/>
      <c r="Q67" s="22"/>
    </row>
    <row r="68" spans="1:17">
      <c r="A68" s="22"/>
      <c r="B68" s="22"/>
      <c r="C68" s="22"/>
      <c r="D68" s="22"/>
      <c r="E68" s="22"/>
      <c r="F68" s="22"/>
      <c r="G68" s="22"/>
      <c r="H68" s="22"/>
      <c r="I68" s="22"/>
      <c r="J68" s="22"/>
      <c r="K68" s="22"/>
      <c r="L68" s="22"/>
      <c r="M68" s="22"/>
      <c r="N68" s="22"/>
      <c r="O68" s="22"/>
      <c r="P68" s="22"/>
      <c r="Q68" s="22"/>
    </row>
    <row r="69" spans="1:17">
      <c r="A69" s="22"/>
      <c r="B69" s="22"/>
      <c r="C69" s="22"/>
      <c r="D69" s="22"/>
      <c r="E69" s="22"/>
      <c r="F69" s="22"/>
      <c r="G69" s="22"/>
      <c r="H69" s="22"/>
      <c r="I69" s="22"/>
      <c r="J69" s="22"/>
      <c r="K69" s="22"/>
      <c r="L69" s="22"/>
      <c r="M69" s="22"/>
      <c r="N69" s="22"/>
      <c r="O69" s="22"/>
      <c r="P69" s="22"/>
      <c r="Q69" s="22"/>
    </row>
    <row r="70" spans="1:17">
      <c r="A70" s="22"/>
      <c r="B70" s="22"/>
      <c r="C70" s="22"/>
      <c r="D70" s="22"/>
      <c r="E70" s="22"/>
      <c r="F70" s="22"/>
      <c r="G70" s="22"/>
      <c r="H70" s="22"/>
      <c r="I70" s="22"/>
      <c r="J70" s="22"/>
      <c r="K70" s="22"/>
      <c r="L70" s="22"/>
      <c r="M70" s="22"/>
      <c r="N70" s="22"/>
      <c r="O70" s="22"/>
      <c r="P70" s="22"/>
      <c r="Q70" s="22"/>
    </row>
    <row r="71" spans="1:17">
      <c r="A71" s="22"/>
      <c r="B71" s="22"/>
      <c r="C71" s="22"/>
      <c r="D71" s="22"/>
      <c r="E71" s="22"/>
      <c r="F71" s="22"/>
      <c r="G71" s="22"/>
      <c r="H71" s="22"/>
      <c r="I71" s="22"/>
      <c r="J71" s="22"/>
      <c r="K71" s="22"/>
      <c r="L71" s="22"/>
      <c r="M71" s="22"/>
      <c r="N71" s="22"/>
      <c r="O71" s="22"/>
      <c r="P71" s="22"/>
      <c r="Q71" s="22"/>
    </row>
    <row r="72" spans="1:17">
      <c r="A72" s="22"/>
      <c r="B72" s="22"/>
      <c r="C72" s="22"/>
      <c r="D72" s="22"/>
      <c r="E72" s="22"/>
      <c r="F72" s="22"/>
      <c r="G72" s="22"/>
      <c r="H72" s="22"/>
      <c r="I72" s="22"/>
      <c r="J72" s="22"/>
      <c r="K72" s="22"/>
      <c r="L72" s="22"/>
      <c r="M72" s="22"/>
      <c r="N72" s="22"/>
      <c r="O72" s="22"/>
      <c r="P72" s="22"/>
      <c r="Q72" s="22"/>
    </row>
    <row r="73" spans="1:17">
      <c r="A73" s="22"/>
      <c r="B73" s="22"/>
      <c r="C73" s="22"/>
      <c r="D73" s="22"/>
      <c r="E73" s="22"/>
      <c r="F73" s="22"/>
      <c r="G73" s="22"/>
      <c r="H73" s="22"/>
      <c r="I73" s="22"/>
      <c r="J73" s="22"/>
      <c r="K73" s="22"/>
      <c r="L73" s="22"/>
      <c r="M73" s="22"/>
      <c r="N73" s="22"/>
      <c r="O73" s="22"/>
      <c r="P73" s="22"/>
      <c r="Q73" s="22"/>
    </row>
    <row r="74" spans="1:17">
      <c r="A74" s="22"/>
      <c r="B74" s="22"/>
      <c r="C74" s="22"/>
      <c r="D74" s="22"/>
      <c r="E74" s="22"/>
      <c r="F74" s="22"/>
      <c r="G74" s="22"/>
      <c r="H74" s="22"/>
      <c r="I74" s="22"/>
      <c r="J74" s="22"/>
      <c r="K74" s="22"/>
      <c r="L74" s="22"/>
      <c r="M74" s="22"/>
      <c r="N74" s="22"/>
      <c r="O74" s="22"/>
      <c r="P74" s="22"/>
      <c r="Q74" s="22"/>
    </row>
    <row r="75" spans="1:17">
      <c r="A75" s="22"/>
      <c r="B75" s="22"/>
      <c r="C75" s="22"/>
      <c r="D75" s="22"/>
      <c r="E75" s="22"/>
      <c r="F75" s="22"/>
      <c r="G75" s="22"/>
      <c r="H75" s="22"/>
      <c r="I75" s="22"/>
      <c r="J75" s="22"/>
      <c r="K75" s="22"/>
      <c r="L75" s="22"/>
      <c r="M75" s="22"/>
      <c r="N75" s="22"/>
      <c r="O75" s="22"/>
      <c r="P75" s="22"/>
      <c r="Q75" s="22"/>
    </row>
    <row r="76" spans="1:17">
      <c r="A76" s="22"/>
      <c r="B76" s="22"/>
      <c r="C76" s="22"/>
      <c r="D76" s="22"/>
      <c r="E76" s="22"/>
      <c r="F76" s="22"/>
      <c r="G76" s="22"/>
      <c r="H76" s="22"/>
      <c r="I76" s="22"/>
      <c r="J76" s="22"/>
      <c r="K76" s="22"/>
      <c r="L76" s="22"/>
      <c r="M76" s="22"/>
      <c r="N76" s="22"/>
      <c r="O76" s="22"/>
      <c r="P76" s="22"/>
      <c r="Q76" s="22"/>
    </row>
    <row r="77" spans="1:17">
      <c r="A77" s="22"/>
      <c r="B77" s="22"/>
      <c r="C77" s="22"/>
      <c r="D77" s="22"/>
      <c r="E77" s="22"/>
      <c r="F77" s="22"/>
      <c r="G77" s="22"/>
      <c r="H77" s="22"/>
      <c r="I77" s="22"/>
      <c r="J77" s="22"/>
      <c r="K77" s="22"/>
      <c r="L77" s="22"/>
      <c r="M77" s="22"/>
      <c r="N77" s="22"/>
      <c r="O77" s="22"/>
      <c r="P77" s="22"/>
      <c r="Q77" s="22"/>
    </row>
    <row r="78" spans="1:17">
      <c r="A78" s="22"/>
      <c r="B78" s="22"/>
      <c r="C78" s="22"/>
      <c r="D78" s="22"/>
      <c r="E78" s="22"/>
      <c r="F78" s="22"/>
      <c r="G78" s="22"/>
      <c r="H78" s="22"/>
      <c r="I78" s="22"/>
      <c r="J78" s="22"/>
      <c r="K78" s="22"/>
      <c r="L78" s="22"/>
      <c r="M78" s="22"/>
      <c r="N78" s="22"/>
      <c r="O78" s="22"/>
      <c r="P78" s="22"/>
      <c r="Q78" s="22"/>
    </row>
    <row r="79" spans="1:17">
      <c r="A79" s="22"/>
      <c r="B79" s="22"/>
      <c r="C79" s="22"/>
      <c r="D79" s="22"/>
      <c r="E79" s="22"/>
      <c r="F79" s="22"/>
      <c r="G79" s="22"/>
      <c r="H79" s="22"/>
      <c r="I79" s="22"/>
      <c r="J79" s="22"/>
      <c r="K79" s="22"/>
      <c r="L79" s="22"/>
      <c r="M79" s="22"/>
      <c r="N79" s="22"/>
      <c r="O79" s="22"/>
      <c r="P79" s="22"/>
      <c r="Q79" s="22"/>
    </row>
    <row r="80" spans="1:17">
      <c r="A80" s="22"/>
      <c r="B80" s="22"/>
      <c r="C80" s="22"/>
      <c r="D80" s="22"/>
      <c r="E80" s="22"/>
      <c r="F80" s="22"/>
      <c r="G80" s="22"/>
      <c r="H80" s="22"/>
      <c r="I80" s="22"/>
      <c r="J80" s="22"/>
      <c r="K80" s="22"/>
      <c r="L80" s="22"/>
      <c r="M80" s="22"/>
      <c r="N80" s="22"/>
      <c r="O80" s="22"/>
      <c r="P80" s="22"/>
      <c r="Q80" s="22"/>
    </row>
    <row r="81" spans="1:17">
      <c r="A81" s="22"/>
      <c r="B81" s="22"/>
      <c r="C81" s="22"/>
      <c r="D81" s="22"/>
      <c r="E81" s="22"/>
      <c r="F81" s="22"/>
      <c r="G81" s="22"/>
      <c r="H81" s="22"/>
      <c r="I81" s="22"/>
      <c r="J81" s="22"/>
      <c r="K81" s="22"/>
      <c r="L81" s="22"/>
      <c r="M81" s="22"/>
      <c r="N81" s="22"/>
      <c r="O81" s="22"/>
      <c r="P81" s="22"/>
      <c r="Q81" s="22"/>
    </row>
    <row r="82" spans="1:17">
      <c r="A82" s="22"/>
      <c r="B82" s="22"/>
      <c r="C82" s="22"/>
      <c r="D82" s="22"/>
      <c r="E82" s="22"/>
      <c r="F82" s="22"/>
      <c r="G82" s="22"/>
      <c r="H82" s="22"/>
      <c r="I82" s="22"/>
      <c r="J82" s="22"/>
      <c r="K82" s="22"/>
      <c r="L82" s="22"/>
      <c r="M82" s="22"/>
      <c r="N82" s="22"/>
      <c r="O82" s="22"/>
      <c r="P82" s="22"/>
      <c r="Q82" s="22"/>
    </row>
    <row r="83" spans="1:17">
      <c r="A83" s="22"/>
      <c r="B83" s="22"/>
      <c r="C83" s="22"/>
      <c r="D83" s="22"/>
      <c r="E83" s="22"/>
      <c r="F83" s="22"/>
      <c r="G83" s="22"/>
      <c r="H83" s="22"/>
      <c r="I83" s="22"/>
      <c r="J83" s="22"/>
      <c r="K83" s="22"/>
      <c r="L83" s="22"/>
      <c r="M83" s="22"/>
      <c r="N83" s="22"/>
      <c r="O83" s="22"/>
      <c r="P83" s="22"/>
      <c r="Q83" s="22"/>
    </row>
    <row r="84" spans="1:17">
      <c r="A84" s="22"/>
      <c r="B84" s="22"/>
      <c r="C84" s="22"/>
      <c r="D84" s="22"/>
      <c r="E84" s="22"/>
      <c r="F84" s="22"/>
      <c r="G84" s="22"/>
      <c r="H84" s="22"/>
      <c r="I84" s="22"/>
      <c r="J84" s="22"/>
      <c r="K84" s="22"/>
      <c r="L84" s="22"/>
      <c r="M84" s="22"/>
      <c r="N84" s="22"/>
      <c r="O84" s="22"/>
      <c r="P84" s="22"/>
      <c r="Q84" s="22"/>
    </row>
    <row r="85" spans="1:17">
      <c r="A85" s="22"/>
      <c r="B85" s="22"/>
      <c r="C85" s="22"/>
      <c r="D85" s="22"/>
      <c r="E85" s="22"/>
      <c r="F85" s="22"/>
      <c r="G85" s="22"/>
      <c r="H85" s="22"/>
      <c r="I85" s="22"/>
      <c r="J85" s="22"/>
      <c r="K85" s="22"/>
      <c r="L85" s="22"/>
      <c r="M85" s="22"/>
      <c r="N85" s="22"/>
      <c r="O85" s="22"/>
      <c r="P85" s="22"/>
      <c r="Q85" s="22"/>
    </row>
    <row r="86" spans="1:17">
      <c r="A86" s="22"/>
      <c r="B86" s="22"/>
      <c r="C86" s="22"/>
      <c r="D86" s="22"/>
      <c r="E86" s="22"/>
      <c r="F86" s="22"/>
      <c r="G86" s="22"/>
      <c r="H86" s="22"/>
      <c r="I86" s="22"/>
      <c r="J86" s="22"/>
      <c r="K86" s="22"/>
      <c r="L86" s="22"/>
      <c r="M86" s="22"/>
      <c r="N86" s="22"/>
      <c r="O86" s="22"/>
      <c r="P86" s="22"/>
      <c r="Q86" s="22"/>
    </row>
    <row r="87" spans="1:17">
      <c r="A87" s="22"/>
      <c r="B87" s="22"/>
      <c r="C87" s="22"/>
      <c r="D87" s="22"/>
      <c r="E87" s="22"/>
      <c r="F87" s="22"/>
      <c r="G87" s="22"/>
      <c r="H87" s="22"/>
      <c r="I87" s="22"/>
      <c r="J87" s="22"/>
      <c r="K87" s="22"/>
      <c r="L87" s="22"/>
      <c r="M87" s="22"/>
      <c r="N87" s="22"/>
      <c r="O87" s="22"/>
      <c r="P87" s="22"/>
      <c r="Q87" s="22"/>
    </row>
    <row r="88" spans="1:17">
      <c r="A88" s="22"/>
      <c r="B88" s="22"/>
      <c r="C88" s="22"/>
      <c r="D88" s="22"/>
      <c r="E88" s="22"/>
      <c r="F88" s="22"/>
      <c r="G88" s="22"/>
      <c r="H88" s="22"/>
      <c r="I88" s="22"/>
      <c r="J88" s="22"/>
      <c r="K88" s="22"/>
      <c r="L88" s="22"/>
      <c r="M88" s="22"/>
      <c r="N88" s="22"/>
      <c r="O88" s="22"/>
      <c r="P88" s="22"/>
      <c r="Q88" s="22"/>
    </row>
    <row r="89" spans="1:17">
      <c r="A89" s="22"/>
      <c r="B89" s="22"/>
      <c r="C89" s="22"/>
      <c r="D89" s="22"/>
      <c r="E89" s="22"/>
      <c r="F89" s="22"/>
      <c r="G89" s="22"/>
      <c r="H89" s="22"/>
      <c r="I89" s="22"/>
      <c r="J89" s="22"/>
      <c r="K89" s="22"/>
      <c r="L89" s="22"/>
      <c r="M89" s="22"/>
      <c r="N89" s="22"/>
      <c r="O89" s="22"/>
      <c r="P89" s="22"/>
      <c r="Q89" s="22"/>
    </row>
    <row r="90" spans="1:17">
      <c r="A90" s="22"/>
      <c r="B90" s="22"/>
      <c r="C90" s="22"/>
      <c r="D90" s="22"/>
      <c r="E90" s="22"/>
      <c r="F90" s="22"/>
      <c r="G90" s="22"/>
      <c r="H90" s="22"/>
      <c r="I90" s="22"/>
      <c r="J90" s="22"/>
      <c r="K90" s="22"/>
      <c r="L90" s="22"/>
      <c r="M90" s="22"/>
      <c r="N90" s="22"/>
      <c r="O90" s="22"/>
      <c r="P90" s="22"/>
      <c r="Q90" s="22"/>
    </row>
    <row r="91" spans="1:17">
      <c r="A91" s="22"/>
      <c r="B91" s="22"/>
      <c r="C91" s="22"/>
      <c r="D91" s="22"/>
      <c r="E91" s="22"/>
      <c r="F91" s="22"/>
      <c r="G91" s="22"/>
      <c r="H91" s="22"/>
      <c r="I91" s="22"/>
      <c r="J91" s="22"/>
      <c r="K91" s="22"/>
      <c r="L91" s="22"/>
      <c r="M91" s="22"/>
      <c r="N91" s="22"/>
      <c r="O91" s="22"/>
      <c r="P91" s="22"/>
      <c r="Q91" s="22"/>
    </row>
    <row r="92" spans="1:17">
      <c r="A92" s="22"/>
      <c r="B92" s="22"/>
      <c r="C92" s="22"/>
      <c r="D92" s="22"/>
      <c r="E92" s="22"/>
      <c r="F92" s="22"/>
      <c r="G92" s="22"/>
      <c r="H92" s="22"/>
      <c r="I92" s="22"/>
      <c r="J92" s="22"/>
      <c r="K92" s="22"/>
      <c r="L92" s="22"/>
      <c r="M92" s="22"/>
      <c r="N92" s="22"/>
      <c r="O92" s="22"/>
      <c r="P92" s="22"/>
      <c r="Q92" s="22"/>
    </row>
    <row r="93" spans="1:17">
      <c r="A93" s="22"/>
      <c r="B93" s="22"/>
      <c r="C93" s="22"/>
      <c r="D93" s="22"/>
      <c r="E93" s="22"/>
      <c r="F93" s="22"/>
      <c r="G93" s="22"/>
      <c r="H93" s="22"/>
      <c r="I93" s="22"/>
      <c r="J93" s="22"/>
      <c r="K93" s="22"/>
      <c r="L93" s="22"/>
      <c r="M93" s="22"/>
      <c r="N93" s="22"/>
      <c r="O93" s="22"/>
      <c r="P93" s="22"/>
      <c r="Q93" s="22"/>
    </row>
    <row r="94" spans="1:17">
      <c r="A94" s="22"/>
      <c r="B94" s="22"/>
      <c r="C94" s="22"/>
      <c r="D94" s="22"/>
      <c r="E94" s="22"/>
      <c r="F94" s="22"/>
      <c r="G94" s="22"/>
      <c r="H94" s="22"/>
      <c r="I94" s="22"/>
      <c r="J94" s="22"/>
      <c r="K94" s="22"/>
      <c r="L94" s="22"/>
      <c r="M94" s="22"/>
      <c r="N94" s="22"/>
      <c r="O94" s="22"/>
      <c r="P94" s="22"/>
      <c r="Q94" s="22"/>
    </row>
    <row r="95" spans="1:17">
      <c r="A95" s="22"/>
      <c r="B95" s="22"/>
      <c r="C95" s="22"/>
      <c r="D95" s="22"/>
      <c r="E95" s="22"/>
      <c r="F95" s="22"/>
      <c r="G95" s="22"/>
      <c r="H95" s="22"/>
      <c r="I95" s="22"/>
      <c r="J95" s="22"/>
      <c r="K95" s="22"/>
      <c r="L95" s="22"/>
      <c r="M95" s="22"/>
      <c r="N95" s="22"/>
      <c r="O95" s="22"/>
      <c r="P95" s="22"/>
      <c r="Q95" s="22"/>
    </row>
    <row r="96" spans="1:17">
      <c r="A96" s="22"/>
      <c r="B96" s="22"/>
      <c r="C96" s="22"/>
      <c r="D96" s="22"/>
      <c r="E96" s="22"/>
      <c r="F96" s="22"/>
      <c r="G96" s="22"/>
      <c r="H96" s="22"/>
      <c r="I96" s="22"/>
      <c r="J96" s="22"/>
      <c r="K96" s="22"/>
      <c r="L96" s="22"/>
      <c r="M96" s="22"/>
      <c r="N96" s="22"/>
      <c r="O96" s="22"/>
      <c r="P96" s="22"/>
      <c r="Q96" s="22"/>
    </row>
    <row r="97" spans="1:17">
      <c r="A97" s="22"/>
      <c r="B97" s="22"/>
      <c r="C97" s="22"/>
      <c r="D97" s="22"/>
      <c r="E97" s="22"/>
      <c r="F97" s="22"/>
      <c r="G97" s="22"/>
      <c r="H97" s="22"/>
      <c r="I97" s="22"/>
      <c r="J97" s="22"/>
      <c r="K97" s="22"/>
      <c r="L97" s="22"/>
      <c r="M97" s="22"/>
      <c r="N97" s="22"/>
      <c r="O97" s="22"/>
      <c r="P97" s="22"/>
      <c r="Q97" s="22"/>
    </row>
    <row r="98" spans="1:17">
      <c r="A98" s="22"/>
      <c r="B98" s="22"/>
      <c r="C98" s="22"/>
      <c r="D98" s="22"/>
      <c r="E98" s="22"/>
      <c r="F98" s="22"/>
      <c r="G98" s="22"/>
      <c r="H98" s="22"/>
      <c r="I98" s="22"/>
      <c r="J98" s="22"/>
      <c r="K98" s="22"/>
      <c r="L98" s="22"/>
      <c r="M98" s="22"/>
      <c r="N98" s="22"/>
      <c r="O98" s="22"/>
      <c r="P98" s="22"/>
      <c r="Q98" s="22"/>
    </row>
    <row r="99" spans="1:17">
      <c r="A99" s="22"/>
      <c r="B99" s="22"/>
      <c r="C99" s="22"/>
      <c r="D99" s="22"/>
      <c r="E99" s="22"/>
      <c r="F99" s="22"/>
      <c r="G99" s="22"/>
      <c r="H99" s="22"/>
      <c r="I99" s="22"/>
      <c r="J99" s="22"/>
      <c r="K99" s="22"/>
      <c r="L99" s="22"/>
      <c r="M99" s="22"/>
      <c r="N99" s="22"/>
      <c r="O99" s="22"/>
      <c r="P99" s="22"/>
      <c r="Q99" s="22"/>
    </row>
    <row r="100" spans="1:17">
      <c r="A100" s="22"/>
      <c r="B100" s="22"/>
      <c r="C100" s="22"/>
      <c r="D100" s="22"/>
      <c r="E100" s="22"/>
      <c r="F100" s="22"/>
      <c r="G100" s="22"/>
      <c r="H100" s="22"/>
      <c r="I100" s="22"/>
      <c r="J100" s="22"/>
      <c r="K100" s="22"/>
      <c r="L100" s="22"/>
      <c r="M100" s="22"/>
      <c r="N100" s="22"/>
      <c r="O100" s="22"/>
      <c r="P100" s="22"/>
      <c r="Q100" s="22"/>
    </row>
    <row r="101" spans="1:17">
      <c r="A101" s="22"/>
      <c r="B101" s="22"/>
      <c r="C101" s="22"/>
      <c r="D101" s="22"/>
      <c r="E101" s="22"/>
      <c r="F101" s="22"/>
      <c r="G101" s="22"/>
      <c r="H101" s="22"/>
      <c r="I101" s="22"/>
      <c r="J101" s="22"/>
      <c r="K101" s="22"/>
      <c r="L101" s="22"/>
      <c r="M101" s="22"/>
      <c r="N101" s="22"/>
      <c r="O101" s="22"/>
      <c r="P101" s="22"/>
      <c r="Q101" s="22"/>
    </row>
    <row r="102" spans="1:17">
      <c r="A102" s="22"/>
      <c r="B102" s="22"/>
      <c r="C102" s="22"/>
      <c r="D102" s="22"/>
      <c r="E102" s="22"/>
      <c r="F102" s="22"/>
      <c r="G102" s="22"/>
      <c r="H102" s="22"/>
      <c r="I102" s="22"/>
      <c r="J102" s="22"/>
      <c r="K102" s="22"/>
      <c r="L102" s="22"/>
      <c r="M102" s="22"/>
      <c r="N102" s="22"/>
      <c r="O102" s="22"/>
      <c r="P102" s="22"/>
      <c r="Q102" s="22"/>
    </row>
    <row r="103" spans="1:17">
      <c r="A103" s="22"/>
      <c r="B103" s="22"/>
      <c r="C103" s="22"/>
      <c r="D103" s="22"/>
      <c r="E103" s="22"/>
      <c r="F103" s="22"/>
      <c r="G103" s="22"/>
      <c r="H103" s="22"/>
      <c r="I103" s="22"/>
      <c r="J103" s="22"/>
      <c r="K103" s="22"/>
      <c r="L103" s="22"/>
      <c r="M103" s="22"/>
      <c r="N103" s="22"/>
      <c r="O103" s="22"/>
      <c r="P103" s="22"/>
      <c r="Q103" s="22"/>
    </row>
    <row r="104" spans="1:17">
      <c r="A104" s="22"/>
      <c r="B104" s="22"/>
      <c r="C104" s="22"/>
      <c r="D104" s="22"/>
      <c r="E104" s="22"/>
      <c r="F104" s="22"/>
      <c r="G104" s="22"/>
      <c r="H104" s="22"/>
      <c r="I104" s="22"/>
      <c r="J104" s="22"/>
      <c r="K104" s="22"/>
      <c r="L104" s="22"/>
      <c r="M104" s="22"/>
      <c r="N104" s="22"/>
      <c r="O104" s="22"/>
      <c r="P104" s="22"/>
      <c r="Q104" s="22"/>
    </row>
    <row r="105" spans="1:17">
      <c r="A105" s="22"/>
      <c r="B105" s="22"/>
      <c r="C105" s="22"/>
      <c r="D105" s="22"/>
      <c r="E105" s="22"/>
      <c r="F105" s="22"/>
      <c r="G105" s="22"/>
      <c r="H105" s="22"/>
      <c r="I105" s="22"/>
      <c r="J105" s="22"/>
      <c r="K105" s="22"/>
      <c r="L105" s="22"/>
      <c r="M105" s="22"/>
      <c r="N105" s="22"/>
      <c r="O105" s="22"/>
      <c r="P105" s="22"/>
      <c r="Q105" s="22"/>
    </row>
    <row r="106" spans="1:17">
      <c r="A106" s="22"/>
      <c r="B106" s="22"/>
      <c r="C106" s="22"/>
      <c r="D106" s="22"/>
      <c r="E106" s="22"/>
      <c r="F106" s="22"/>
      <c r="G106" s="22"/>
      <c r="H106" s="22"/>
      <c r="I106" s="22"/>
      <c r="J106" s="22"/>
      <c r="K106" s="22"/>
      <c r="L106" s="22"/>
      <c r="M106" s="22"/>
      <c r="N106" s="22"/>
      <c r="O106" s="22"/>
      <c r="P106" s="22"/>
      <c r="Q106" s="22"/>
    </row>
    <row r="107" spans="1:17">
      <c r="A107" s="22"/>
      <c r="B107" s="22"/>
      <c r="C107" s="22"/>
      <c r="D107" s="22"/>
      <c r="E107" s="22"/>
      <c r="F107" s="22"/>
      <c r="G107" s="22"/>
      <c r="H107" s="22"/>
      <c r="I107" s="22"/>
      <c r="J107" s="22"/>
      <c r="K107" s="22"/>
      <c r="L107" s="22"/>
      <c r="M107" s="22"/>
      <c r="N107" s="22"/>
      <c r="O107" s="22"/>
      <c r="P107" s="22"/>
      <c r="Q107" s="22"/>
    </row>
    <row r="108" spans="1:17">
      <c r="A108" s="22"/>
      <c r="B108" s="22"/>
      <c r="C108" s="22"/>
      <c r="D108" s="22"/>
      <c r="E108" s="22"/>
      <c r="F108" s="22"/>
      <c r="G108" s="22"/>
      <c r="H108" s="22"/>
      <c r="I108" s="22"/>
      <c r="J108" s="22"/>
      <c r="K108" s="22"/>
      <c r="L108" s="22"/>
      <c r="M108" s="22"/>
      <c r="N108" s="22"/>
      <c r="O108" s="22"/>
      <c r="P108" s="22"/>
      <c r="Q108" s="22"/>
    </row>
    <row r="109" spans="1:17">
      <c r="A109" s="22"/>
      <c r="B109" s="22"/>
      <c r="C109" s="22"/>
      <c r="D109" s="22"/>
      <c r="E109" s="22"/>
      <c r="F109" s="22"/>
      <c r="G109" s="22"/>
      <c r="H109" s="22"/>
      <c r="I109" s="22"/>
      <c r="J109" s="22"/>
      <c r="K109" s="22"/>
      <c r="L109" s="22"/>
      <c r="M109" s="22"/>
      <c r="N109" s="22"/>
      <c r="O109" s="22"/>
      <c r="P109" s="22"/>
      <c r="Q109" s="22"/>
    </row>
    <row r="110" spans="1:17">
      <c r="A110" s="22"/>
      <c r="B110" s="22"/>
      <c r="C110" s="22"/>
      <c r="D110" s="22"/>
      <c r="E110" s="22"/>
      <c r="F110" s="22"/>
      <c r="G110" s="22"/>
      <c r="H110" s="22"/>
      <c r="I110" s="22"/>
      <c r="J110" s="22"/>
      <c r="K110" s="22"/>
      <c r="L110" s="22"/>
      <c r="M110" s="22"/>
      <c r="N110" s="22"/>
      <c r="O110" s="22"/>
      <c r="P110" s="22"/>
      <c r="Q110" s="22"/>
    </row>
    <row r="111" spans="1:17">
      <c r="A111" s="22"/>
      <c r="B111" s="22"/>
      <c r="C111" s="22"/>
      <c r="D111" s="22"/>
      <c r="E111" s="22"/>
      <c r="F111" s="22"/>
      <c r="G111" s="22"/>
      <c r="H111" s="22"/>
      <c r="I111" s="22"/>
      <c r="J111" s="22"/>
      <c r="K111" s="22"/>
      <c r="L111" s="22"/>
      <c r="M111" s="22"/>
      <c r="N111" s="22"/>
      <c r="O111" s="22"/>
      <c r="P111" s="22"/>
      <c r="Q111" s="22"/>
    </row>
    <row r="112" spans="1:17">
      <c r="A112" s="22"/>
      <c r="B112" s="22"/>
      <c r="C112" s="22"/>
      <c r="D112" s="22"/>
      <c r="E112" s="22"/>
      <c r="F112" s="22"/>
      <c r="G112" s="22"/>
      <c r="H112" s="22"/>
      <c r="I112" s="22"/>
      <c r="J112" s="22"/>
      <c r="K112" s="22"/>
      <c r="L112" s="22"/>
      <c r="M112" s="22"/>
      <c r="N112" s="22"/>
      <c r="O112" s="22"/>
      <c r="P112" s="22"/>
      <c r="Q112" s="22"/>
    </row>
    <row r="113" spans="1:17">
      <c r="A113" s="22"/>
      <c r="B113" s="22"/>
      <c r="C113" s="22"/>
      <c r="D113" s="22"/>
      <c r="E113" s="22"/>
      <c r="F113" s="22"/>
      <c r="G113" s="22"/>
      <c r="H113" s="22"/>
      <c r="I113" s="22"/>
      <c r="J113" s="22"/>
      <c r="K113" s="22"/>
      <c r="L113" s="22"/>
      <c r="M113" s="22"/>
      <c r="N113" s="22"/>
      <c r="O113" s="22"/>
      <c r="P113" s="22"/>
      <c r="Q113" s="22"/>
    </row>
    <row r="114" spans="1:17">
      <c r="A114" s="22"/>
      <c r="B114" s="22"/>
      <c r="C114" s="22"/>
      <c r="D114" s="22"/>
      <c r="E114" s="22"/>
      <c r="F114" s="22"/>
      <c r="G114" s="22"/>
      <c r="H114" s="22"/>
      <c r="I114" s="22"/>
      <c r="J114" s="22"/>
      <c r="K114" s="22"/>
      <c r="L114" s="22"/>
      <c r="M114" s="22"/>
      <c r="N114" s="22"/>
      <c r="O114" s="22"/>
      <c r="P114" s="22"/>
      <c r="Q114" s="22"/>
    </row>
    <row r="115" spans="1:17">
      <c r="A115" s="22"/>
      <c r="B115" s="22"/>
      <c r="C115" s="22"/>
      <c r="D115" s="22"/>
      <c r="E115" s="22"/>
      <c r="F115" s="22"/>
      <c r="G115" s="22"/>
      <c r="H115" s="22"/>
      <c r="I115" s="22"/>
      <c r="J115" s="22"/>
      <c r="K115" s="22"/>
      <c r="L115" s="22"/>
      <c r="M115" s="22"/>
      <c r="N115" s="22"/>
      <c r="O115" s="22"/>
      <c r="P115" s="22"/>
      <c r="Q115" s="22"/>
    </row>
    <row r="116" spans="1:17">
      <c r="A116" s="22"/>
      <c r="B116" s="22"/>
      <c r="C116" s="22"/>
      <c r="D116" s="22"/>
      <c r="E116" s="22"/>
      <c r="F116" s="22"/>
      <c r="G116" s="22"/>
      <c r="H116" s="22"/>
      <c r="I116" s="22"/>
      <c r="J116" s="22"/>
      <c r="K116" s="22"/>
      <c r="L116" s="22"/>
      <c r="M116" s="22"/>
      <c r="N116" s="22"/>
      <c r="O116" s="22"/>
      <c r="P116" s="22"/>
      <c r="Q116" s="22"/>
    </row>
    <row r="117" spans="1:17">
      <c r="A117" s="22"/>
      <c r="B117" s="22"/>
      <c r="C117" s="22"/>
      <c r="D117" s="22"/>
      <c r="E117" s="22"/>
      <c r="F117" s="22"/>
      <c r="G117" s="22"/>
      <c r="H117" s="22"/>
      <c r="I117" s="22"/>
      <c r="J117" s="22"/>
      <c r="K117" s="22"/>
      <c r="L117" s="22"/>
      <c r="M117" s="22"/>
      <c r="N117" s="22"/>
      <c r="O117" s="22"/>
      <c r="P117" s="22"/>
      <c r="Q117" s="22"/>
    </row>
    <row r="118" spans="1:17">
      <c r="A118" s="22"/>
      <c r="B118" s="22"/>
      <c r="C118" s="22"/>
      <c r="D118" s="22"/>
      <c r="E118" s="22"/>
      <c r="F118" s="22"/>
      <c r="G118" s="22"/>
      <c r="H118" s="22"/>
      <c r="I118" s="22"/>
      <c r="J118" s="22"/>
      <c r="K118" s="22"/>
      <c r="L118" s="22"/>
      <c r="M118" s="22"/>
      <c r="N118" s="22"/>
      <c r="O118" s="22"/>
      <c r="P118" s="22"/>
      <c r="Q118" s="22"/>
    </row>
    <row r="119" spans="1:17">
      <c r="A119" s="22"/>
      <c r="B119" s="22"/>
      <c r="C119" s="22"/>
      <c r="D119" s="22"/>
      <c r="E119" s="22"/>
      <c r="F119" s="22"/>
      <c r="G119" s="22"/>
      <c r="H119" s="22"/>
      <c r="I119" s="22"/>
      <c r="J119" s="22"/>
      <c r="K119" s="22"/>
      <c r="L119" s="22"/>
      <c r="M119" s="22"/>
      <c r="N119" s="22"/>
      <c r="O119" s="22"/>
      <c r="P119" s="22"/>
      <c r="Q119" s="22"/>
    </row>
    <row r="120" spans="1:17">
      <c r="A120" s="22"/>
      <c r="B120" s="22"/>
      <c r="C120" s="22"/>
      <c r="D120" s="22"/>
      <c r="E120" s="22"/>
      <c r="F120" s="22"/>
      <c r="G120" s="22"/>
      <c r="H120" s="22"/>
      <c r="I120" s="22"/>
      <c r="J120" s="22"/>
      <c r="K120" s="22"/>
      <c r="L120" s="22"/>
      <c r="M120" s="22"/>
      <c r="N120" s="22"/>
      <c r="O120" s="22"/>
      <c r="P120" s="22"/>
      <c r="Q120" s="22"/>
    </row>
    <row r="121" spans="1:17">
      <c r="A121" s="22"/>
      <c r="B121" s="22"/>
      <c r="C121" s="22"/>
      <c r="D121" s="22"/>
      <c r="E121" s="22"/>
      <c r="F121" s="22"/>
      <c r="G121" s="22"/>
      <c r="H121" s="22"/>
      <c r="I121" s="22"/>
      <c r="J121" s="22"/>
      <c r="K121" s="22"/>
      <c r="L121" s="22"/>
      <c r="M121" s="22"/>
      <c r="N121" s="22"/>
      <c r="O121" s="22"/>
      <c r="P121" s="22"/>
      <c r="Q121" s="22"/>
    </row>
    <row r="122" spans="1:17">
      <c r="A122" s="22"/>
      <c r="B122" s="22"/>
      <c r="C122" s="22"/>
      <c r="D122" s="22"/>
      <c r="E122" s="22"/>
      <c r="F122" s="22"/>
      <c r="G122" s="22"/>
      <c r="H122" s="22"/>
      <c r="I122" s="22"/>
      <c r="J122" s="22"/>
      <c r="K122" s="22"/>
      <c r="L122" s="22"/>
      <c r="M122" s="22"/>
      <c r="N122" s="22"/>
      <c r="O122" s="22"/>
      <c r="P122" s="22"/>
      <c r="Q122" s="22"/>
    </row>
    <row r="123" spans="1:17">
      <c r="A123" s="22"/>
      <c r="B123" s="22"/>
      <c r="C123" s="22"/>
      <c r="D123" s="22"/>
      <c r="E123" s="22"/>
      <c r="F123" s="22"/>
      <c r="G123" s="22"/>
      <c r="H123" s="22"/>
      <c r="I123" s="22"/>
      <c r="J123" s="22"/>
      <c r="K123" s="22"/>
      <c r="L123" s="22"/>
      <c r="M123" s="22"/>
      <c r="N123" s="22"/>
      <c r="O123" s="22"/>
      <c r="P123" s="22"/>
      <c r="Q123" s="22"/>
    </row>
    <row r="124" spans="1:17">
      <c r="A124" s="22"/>
      <c r="B124" s="22"/>
      <c r="C124" s="22"/>
      <c r="D124" s="22"/>
      <c r="E124" s="22"/>
      <c r="F124" s="22"/>
      <c r="G124" s="22"/>
    </row>
    <row r="125" spans="1:17">
      <c r="A125" s="22"/>
      <c r="B125" s="22"/>
      <c r="C125" s="22"/>
      <c r="D125" s="22"/>
      <c r="E125" s="22"/>
      <c r="F125" s="22"/>
      <c r="G125" s="22"/>
    </row>
    <row r="126" spans="1:17">
      <c r="A126" s="22"/>
      <c r="B126" s="22"/>
      <c r="C126" s="22"/>
      <c r="D126" s="22"/>
      <c r="E126" s="22"/>
      <c r="F126" s="22"/>
      <c r="G126" s="22"/>
    </row>
    <row r="127" spans="1:17">
      <c r="A127" s="22"/>
      <c r="B127" s="22"/>
      <c r="C127" s="22"/>
      <c r="D127" s="22"/>
      <c r="E127" s="22"/>
      <c r="F127" s="22"/>
      <c r="G127" s="22"/>
    </row>
    <row r="128" spans="1:17">
      <c r="A128" s="22"/>
      <c r="B128" s="22"/>
      <c r="C128" s="22"/>
      <c r="D128" s="22"/>
      <c r="E128" s="22"/>
      <c r="F128" s="22"/>
      <c r="G128" s="22"/>
    </row>
    <row r="129" spans="1:7">
      <c r="A129" s="22"/>
      <c r="B129" s="22"/>
      <c r="C129" s="22"/>
      <c r="D129" s="22"/>
      <c r="E129" s="22"/>
      <c r="F129" s="22"/>
      <c r="G129" s="22"/>
    </row>
    <row r="130" spans="1:7">
      <c r="A130" s="22"/>
      <c r="B130" s="22"/>
      <c r="C130" s="22"/>
      <c r="D130" s="22"/>
      <c r="E130" s="22"/>
      <c r="F130" s="22"/>
      <c r="G130" s="22"/>
    </row>
    <row r="131" spans="1:7">
      <c r="A131" s="22"/>
      <c r="B131" s="22"/>
      <c r="C131" s="22"/>
      <c r="D131" s="22"/>
      <c r="E131" s="22"/>
      <c r="F131" s="22"/>
      <c r="G131" s="22"/>
    </row>
    <row r="132" spans="1:7">
      <c r="A132" s="22"/>
      <c r="B132" s="22"/>
      <c r="C132" s="22"/>
      <c r="D132" s="22"/>
      <c r="E132" s="22"/>
      <c r="F132" s="22"/>
      <c r="G132" s="22"/>
    </row>
    <row r="133" spans="1:7">
      <c r="A133" s="22"/>
      <c r="B133" s="22"/>
      <c r="C133" s="22"/>
      <c r="D133" s="22"/>
      <c r="E133" s="22"/>
      <c r="F133" s="22"/>
      <c r="G133" s="22"/>
    </row>
    <row r="134" spans="1:7">
      <c r="A134" s="22"/>
      <c r="B134" s="22"/>
      <c r="C134" s="22"/>
      <c r="D134" s="22"/>
      <c r="E134" s="22"/>
      <c r="F134" s="22"/>
      <c r="G134" s="22"/>
    </row>
    <row r="135" spans="1:7">
      <c r="A135" s="22"/>
      <c r="B135" s="22"/>
      <c r="C135" s="22"/>
      <c r="D135" s="22"/>
      <c r="E135" s="22"/>
      <c r="F135" s="22"/>
      <c r="G135" s="22"/>
    </row>
    <row r="136" spans="1:7">
      <c r="A136" s="22"/>
      <c r="B136" s="22"/>
      <c r="C136" s="22"/>
      <c r="D136" s="22"/>
      <c r="E136" s="22"/>
      <c r="F136" s="22"/>
      <c r="G136" s="22"/>
    </row>
    <row r="137" spans="1:7">
      <c r="A137" s="22"/>
      <c r="B137" s="22"/>
      <c r="C137" s="22"/>
      <c r="D137" s="22"/>
      <c r="E137" s="22"/>
      <c r="F137" s="22"/>
      <c r="G137" s="22"/>
    </row>
    <row r="138" spans="1:7">
      <c r="A138" s="22"/>
      <c r="B138" s="22"/>
      <c r="C138" s="22"/>
      <c r="D138" s="22"/>
      <c r="E138" s="22"/>
      <c r="F138" s="22"/>
      <c r="G138" s="22"/>
    </row>
    <row r="139" spans="1:7">
      <c r="A139" s="22"/>
      <c r="B139" s="22"/>
      <c r="C139" s="22"/>
      <c r="D139" s="22"/>
      <c r="E139" s="22"/>
      <c r="F139" s="22"/>
      <c r="G139" s="22"/>
    </row>
    <row r="140" spans="1:7">
      <c r="A140" s="22"/>
      <c r="B140" s="22"/>
      <c r="C140" s="22"/>
      <c r="D140" s="22"/>
      <c r="E140" s="22"/>
      <c r="F140" s="22"/>
      <c r="G140" s="22"/>
    </row>
    <row r="141" spans="1:7">
      <c r="A141" s="22"/>
      <c r="B141" s="22"/>
      <c r="C141" s="22"/>
      <c r="D141" s="22"/>
      <c r="E141" s="22"/>
      <c r="F141" s="22"/>
      <c r="G141" s="22"/>
    </row>
    <row r="142" spans="1:7">
      <c r="A142" s="22"/>
      <c r="B142" s="22"/>
      <c r="C142" s="22"/>
      <c r="D142" s="22"/>
      <c r="E142" s="22"/>
      <c r="F142" s="22"/>
      <c r="G142" s="22"/>
    </row>
    <row r="143" spans="1:7">
      <c r="A143" s="22"/>
      <c r="B143" s="22"/>
      <c r="C143" s="22"/>
      <c r="D143" s="22"/>
      <c r="E143" s="22"/>
      <c r="F143" s="22"/>
      <c r="G143" s="22"/>
    </row>
    <row r="144" spans="1:7">
      <c r="A144" s="22"/>
      <c r="B144" s="22"/>
      <c r="C144" s="22"/>
      <c r="D144" s="22"/>
      <c r="E144" s="22"/>
      <c r="F144" s="22"/>
      <c r="G144" s="22"/>
    </row>
    <row r="145" spans="1:7">
      <c r="A145" s="22"/>
      <c r="B145" s="22"/>
      <c r="C145" s="22"/>
      <c r="D145" s="22"/>
      <c r="E145" s="22"/>
      <c r="F145" s="22"/>
      <c r="G145" s="22"/>
    </row>
    <row r="146" spans="1:7">
      <c r="A146" s="22"/>
      <c r="B146" s="22"/>
      <c r="C146" s="22"/>
      <c r="D146" s="22"/>
      <c r="E146" s="22"/>
      <c r="F146" s="22"/>
      <c r="G146" s="22"/>
    </row>
    <row r="147" spans="1:7">
      <c r="A147" s="22"/>
      <c r="B147" s="22"/>
      <c r="C147" s="22"/>
      <c r="D147" s="22"/>
      <c r="E147" s="22"/>
      <c r="F147" s="22"/>
      <c r="G147" s="22"/>
    </row>
    <row r="148" spans="1:7">
      <c r="A148" s="22"/>
      <c r="B148" s="22"/>
      <c r="C148" s="22"/>
      <c r="D148" s="22"/>
      <c r="E148" s="22"/>
      <c r="F148" s="22"/>
      <c r="G148" s="22"/>
    </row>
    <row r="149" spans="1:7">
      <c r="A149" s="22"/>
      <c r="B149" s="22"/>
      <c r="C149" s="22"/>
      <c r="D149" s="22"/>
      <c r="E149" s="22"/>
      <c r="F149" s="22"/>
      <c r="G149" s="22"/>
    </row>
    <row r="150" spans="1:7">
      <c r="A150" s="22"/>
      <c r="B150" s="22"/>
      <c r="C150" s="22"/>
      <c r="D150" s="22"/>
      <c r="E150" s="22"/>
      <c r="F150" s="22"/>
      <c r="G150" s="22"/>
    </row>
    <row r="151" spans="1:7">
      <c r="A151" s="22"/>
      <c r="B151" s="22"/>
      <c r="C151" s="22"/>
      <c r="D151" s="22"/>
      <c r="E151" s="22"/>
      <c r="F151" s="22"/>
      <c r="G151" s="22"/>
    </row>
    <row r="152" spans="1:7">
      <c r="A152" s="22"/>
      <c r="B152" s="22"/>
      <c r="C152" s="22"/>
      <c r="D152" s="22"/>
      <c r="E152" s="22"/>
      <c r="F152" s="22"/>
      <c r="G152" s="22"/>
    </row>
    <row r="153" spans="1:7">
      <c r="A153" s="22"/>
      <c r="B153" s="22"/>
      <c r="C153" s="22"/>
      <c r="D153" s="22"/>
      <c r="E153" s="22"/>
      <c r="F153" s="22"/>
      <c r="G153" s="22"/>
    </row>
    <row r="154" spans="1:7">
      <c r="A154" s="22"/>
      <c r="B154" s="22"/>
      <c r="C154" s="22"/>
      <c r="D154" s="22"/>
      <c r="E154" s="22"/>
      <c r="F154" s="22"/>
      <c r="G154" s="22"/>
    </row>
    <row r="155" spans="1:7">
      <c r="A155" s="22"/>
      <c r="B155" s="22"/>
      <c r="C155" s="22"/>
      <c r="D155" s="22"/>
      <c r="E155" s="22"/>
      <c r="F155" s="22"/>
      <c r="G155" s="22"/>
    </row>
    <row r="156" spans="1:7">
      <c r="A156" s="22"/>
      <c r="B156" s="22"/>
      <c r="C156" s="22"/>
      <c r="D156" s="22"/>
      <c r="E156" s="22"/>
      <c r="F156" s="22"/>
      <c r="G156" s="22"/>
    </row>
    <row r="157" spans="1:7">
      <c r="A157" s="22"/>
      <c r="B157" s="22"/>
      <c r="C157" s="22"/>
      <c r="D157" s="22"/>
      <c r="E157" s="22"/>
      <c r="F157" s="22"/>
      <c r="G157" s="22"/>
    </row>
    <row r="158" spans="1:7">
      <c r="A158" s="22"/>
      <c r="B158" s="22"/>
      <c r="C158" s="22"/>
      <c r="D158" s="22"/>
      <c r="E158" s="22"/>
      <c r="F158" s="22"/>
      <c r="G158" s="22"/>
    </row>
    <row r="159" spans="1:7">
      <c r="A159" s="22"/>
      <c r="B159" s="22"/>
      <c r="C159" s="22"/>
      <c r="D159" s="22"/>
      <c r="E159" s="22"/>
      <c r="F159" s="22"/>
      <c r="G159" s="22"/>
    </row>
    <row r="160" spans="1:7">
      <c r="A160" s="22"/>
      <c r="B160" s="22"/>
      <c r="C160" s="22"/>
      <c r="D160" s="22"/>
      <c r="E160" s="22"/>
      <c r="F160" s="22"/>
      <c r="G160" s="22"/>
    </row>
    <row r="161" spans="1:7">
      <c r="A161" s="22"/>
      <c r="B161" s="22"/>
      <c r="C161" s="22"/>
      <c r="D161" s="22"/>
      <c r="E161" s="22"/>
      <c r="F161" s="22"/>
      <c r="G161" s="22"/>
    </row>
    <row r="162" spans="1:7">
      <c r="A162" s="22"/>
      <c r="B162" s="22"/>
      <c r="C162" s="22"/>
      <c r="D162" s="22"/>
      <c r="E162" s="22"/>
      <c r="F162" s="22"/>
      <c r="G162" s="22"/>
    </row>
    <row r="163" spans="1:7">
      <c r="A163" s="22"/>
      <c r="B163" s="22"/>
      <c r="C163" s="22"/>
      <c r="D163" s="22"/>
      <c r="E163" s="22"/>
      <c r="F163" s="22"/>
      <c r="G163" s="22"/>
    </row>
    <row r="164" spans="1:7">
      <c r="A164" s="22"/>
      <c r="B164" s="22"/>
      <c r="C164" s="22"/>
      <c r="D164" s="22"/>
      <c r="E164" s="22"/>
      <c r="F164" s="22"/>
      <c r="G164" s="22"/>
    </row>
    <row r="165" spans="1:7">
      <c r="A165" s="22"/>
      <c r="B165" s="22"/>
      <c r="C165" s="22"/>
      <c r="D165" s="22"/>
      <c r="E165" s="22"/>
      <c r="F165" s="22"/>
      <c r="G165" s="22"/>
    </row>
    <row r="166" spans="1:7">
      <c r="A166" s="22"/>
      <c r="B166" s="22"/>
      <c r="C166" s="22"/>
      <c r="D166" s="22"/>
      <c r="E166" s="22"/>
      <c r="F166" s="22"/>
      <c r="G166" s="22"/>
    </row>
    <row r="167" spans="1:7">
      <c r="A167" s="22"/>
      <c r="B167" s="22"/>
      <c r="C167" s="22"/>
      <c r="D167" s="22"/>
      <c r="E167" s="22"/>
      <c r="F167" s="22"/>
      <c r="G167" s="22"/>
    </row>
    <row r="168" spans="1:7">
      <c r="A168" s="22"/>
      <c r="B168" s="22"/>
      <c r="C168" s="22"/>
      <c r="D168" s="22"/>
      <c r="E168" s="22"/>
      <c r="F168" s="22"/>
      <c r="G168" s="22"/>
    </row>
    <row r="169" spans="1:7">
      <c r="A169" s="22"/>
      <c r="B169" s="22"/>
      <c r="C169" s="22"/>
      <c r="D169" s="22"/>
      <c r="E169" s="22"/>
      <c r="F169" s="22"/>
      <c r="G169" s="22"/>
    </row>
    <row r="170" spans="1:7">
      <c r="A170" s="22"/>
      <c r="B170" s="22"/>
      <c r="C170" s="22"/>
      <c r="D170" s="22"/>
      <c r="E170" s="22"/>
      <c r="F170" s="22"/>
      <c r="G170" s="22"/>
    </row>
    <row r="171" spans="1:7">
      <c r="A171" s="22"/>
      <c r="B171" s="22"/>
      <c r="C171" s="22"/>
      <c r="D171" s="22"/>
      <c r="E171" s="22"/>
      <c r="F171" s="22"/>
      <c r="G171" s="22"/>
    </row>
    <row r="172" spans="1:7">
      <c r="A172" s="22"/>
      <c r="B172" s="22"/>
      <c r="C172" s="22"/>
      <c r="D172" s="22"/>
      <c r="E172" s="22"/>
      <c r="F172" s="22"/>
      <c r="G172" s="22"/>
    </row>
    <row r="173" spans="1:7">
      <c r="A173" s="22"/>
      <c r="B173" s="22"/>
      <c r="C173" s="22"/>
      <c r="D173" s="22"/>
      <c r="E173" s="22"/>
      <c r="F173" s="22"/>
      <c r="G173" s="22"/>
    </row>
    <row r="174" spans="1:7">
      <c r="A174" s="22"/>
      <c r="B174" s="22"/>
      <c r="C174" s="22"/>
      <c r="D174" s="22"/>
      <c r="E174" s="22"/>
      <c r="F174" s="22"/>
      <c r="G174" s="22"/>
    </row>
    <row r="175" spans="1:7">
      <c r="A175" s="22"/>
      <c r="B175" s="22"/>
      <c r="C175" s="22"/>
      <c r="D175" s="22"/>
      <c r="E175" s="22"/>
      <c r="F175" s="22"/>
      <c r="G175" s="22"/>
    </row>
    <row r="176" spans="1:7">
      <c r="A176" s="22"/>
      <c r="B176" s="22"/>
      <c r="C176" s="22"/>
      <c r="D176" s="22"/>
      <c r="E176" s="22"/>
      <c r="F176" s="22"/>
      <c r="G176" s="22"/>
    </row>
    <row r="177" spans="1:7">
      <c r="A177" s="22"/>
      <c r="B177" s="22"/>
      <c r="C177" s="22"/>
      <c r="D177" s="22"/>
      <c r="E177" s="22"/>
      <c r="F177" s="22"/>
      <c r="G177" s="22"/>
    </row>
    <row r="178" spans="1:7">
      <c r="A178" s="22"/>
      <c r="B178" s="22"/>
      <c r="C178" s="22"/>
      <c r="D178" s="22"/>
      <c r="E178" s="22"/>
      <c r="F178" s="22"/>
      <c r="G178" s="22"/>
    </row>
    <row r="179" spans="1:7">
      <c r="A179" s="22"/>
      <c r="B179" s="22"/>
      <c r="C179" s="22"/>
      <c r="D179" s="22"/>
      <c r="E179" s="22"/>
      <c r="F179" s="22"/>
      <c r="G179" s="22"/>
    </row>
    <row r="180" spans="1:7">
      <c r="A180" s="22"/>
      <c r="B180" s="22"/>
      <c r="C180" s="22"/>
      <c r="D180" s="22"/>
      <c r="E180" s="22"/>
      <c r="F180" s="22"/>
      <c r="G180" s="22"/>
    </row>
    <row r="181" spans="1:7">
      <c r="A181" s="22"/>
      <c r="B181" s="22"/>
      <c r="C181" s="22"/>
      <c r="D181" s="22"/>
      <c r="E181" s="22"/>
      <c r="F181" s="22"/>
      <c r="G181" s="22"/>
    </row>
    <row r="182" spans="1:7">
      <c r="A182" s="22"/>
      <c r="B182" s="22"/>
      <c r="C182" s="22"/>
      <c r="D182" s="22"/>
      <c r="E182" s="22"/>
      <c r="F182" s="22"/>
      <c r="G182" s="22"/>
    </row>
    <row r="183" spans="1:7">
      <c r="A183" s="22"/>
      <c r="B183" s="22"/>
      <c r="C183" s="22"/>
      <c r="D183" s="22"/>
      <c r="E183" s="22"/>
      <c r="F183" s="22"/>
      <c r="G183" s="22"/>
    </row>
    <row r="184" spans="1:7">
      <c r="A184" s="22"/>
      <c r="B184" s="22"/>
      <c r="C184" s="22"/>
      <c r="D184" s="22"/>
      <c r="E184" s="22"/>
      <c r="F184" s="22"/>
      <c r="G184" s="22"/>
    </row>
    <row r="185" spans="1:7">
      <c r="A185" s="22"/>
      <c r="B185" s="22"/>
      <c r="C185" s="22"/>
      <c r="D185" s="22"/>
      <c r="E185" s="22"/>
      <c r="F185" s="22"/>
      <c r="G185" s="22"/>
    </row>
    <row r="186" spans="1:7">
      <c r="A186" s="22"/>
      <c r="B186" s="22"/>
      <c r="C186" s="22"/>
      <c r="D186" s="22"/>
      <c r="E186" s="22"/>
      <c r="F186" s="22"/>
      <c r="G186" s="22"/>
    </row>
    <row r="187" spans="1:7">
      <c r="A187" s="22"/>
      <c r="B187" s="22"/>
      <c r="C187" s="22"/>
      <c r="D187" s="22"/>
      <c r="E187" s="22"/>
      <c r="F187" s="22"/>
      <c r="G187" s="22"/>
    </row>
    <row r="188" spans="1:7">
      <c r="A188" s="22"/>
      <c r="B188" s="22"/>
      <c r="C188" s="22"/>
      <c r="D188" s="22"/>
      <c r="E188" s="22"/>
      <c r="F188" s="22"/>
      <c r="G188" s="22"/>
    </row>
    <row r="189" spans="1:7">
      <c r="A189" s="22"/>
      <c r="B189" s="22"/>
      <c r="C189" s="22"/>
      <c r="D189" s="22"/>
      <c r="E189" s="22"/>
      <c r="F189" s="22"/>
      <c r="G189" s="22"/>
    </row>
    <row r="190" spans="1:7">
      <c r="A190" s="22"/>
      <c r="B190" s="22"/>
      <c r="C190" s="22"/>
      <c r="D190" s="22"/>
      <c r="E190" s="22"/>
      <c r="F190" s="22"/>
      <c r="G190" s="22"/>
    </row>
    <row r="191" spans="1:7">
      <c r="A191" s="22"/>
      <c r="B191" s="22"/>
      <c r="C191" s="22"/>
      <c r="D191" s="22"/>
      <c r="E191" s="22"/>
      <c r="F191" s="22"/>
      <c r="G191" s="22"/>
    </row>
    <row r="192" spans="1:7">
      <c r="A192" s="22"/>
      <c r="B192" s="22"/>
      <c r="C192" s="22"/>
      <c r="D192" s="22"/>
      <c r="E192" s="22"/>
      <c r="F192" s="22"/>
      <c r="G192" s="22"/>
    </row>
    <row r="193" spans="1:7">
      <c r="A193" s="22"/>
      <c r="B193" s="22"/>
      <c r="C193" s="22"/>
      <c r="D193" s="22"/>
      <c r="E193" s="22"/>
      <c r="F193" s="22"/>
      <c r="G193" s="22"/>
    </row>
    <row r="194" spans="1:7">
      <c r="A194" s="22"/>
      <c r="B194" s="22"/>
      <c r="C194" s="22"/>
      <c r="D194" s="22"/>
      <c r="E194" s="22"/>
      <c r="F194" s="22"/>
      <c r="G194" s="22"/>
    </row>
    <row r="195" spans="1:7">
      <c r="A195" s="22"/>
      <c r="B195" s="22"/>
      <c r="C195" s="22"/>
      <c r="D195" s="22"/>
      <c r="E195" s="22"/>
      <c r="F195" s="22"/>
      <c r="G195" s="22"/>
    </row>
    <row r="196" spans="1:7">
      <c r="A196" s="22"/>
      <c r="B196" s="22"/>
      <c r="C196" s="22"/>
      <c r="D196" s="22"/>
      <c r="E196" s="22"/>
      <c r="F196" s="22"/>
      <c r="G196" s="22"/>
    </row>
    <row r="197" spans="1:7">
      <c r="A197" s="22"/>
      <c r="B197" s="22"/>
      <c r="C197" s="22"/>
      <c r="D197" s="22"/>
      <c r="E197" s="22"/>
      <c r="F197" s="22"/>
      <c r="G197" s="22"/>
    </row>
    <row r="198" spans="1:7">
      <c r="A198" s="22"/>
      <c r="B198" s="22"/>
      <c r="C198" s="22"/>
      <c r="D198" s="22"/>
      <c r="E198" s="22"/>
      <c r="F198" s="22"/>
      <c r="G198" s="22"/>
    </row>
    <row r="199" spans="1:7">
      <c r="A199" s="22"/>
      <c r="B199" s="22"/>
      <c r="C199" s="22"/>
      <c r="D199" s="22"/>
      <c r="E199" s="22"/>
      <c r="F199" s="22"/>
      <c r="G199" s="22"/>
    </row>
    <row r="200" spans="1:7">
      <c r="A200" s="22"/>
      <c r="B200" s="22"/>
      <c r="C200" s="22"/>
      <c r="D200" s="22"/>
      <c r="E200" s="22"/>
      <c r="F200" s="22"/>
      <c r="G200" s="22"/>
    </row>
    <row r="201" spans="1:7">
      <c r="A201" s="22"/>
      <c r="B201" s="22"/>
      <c r="C201" s="22"/>
      <c r="D201" s="22"/>
      <c r="E201" s="22"/>
      <c r="F201" s="22"/>
      <c r="G201" s="22"/>
    </row>
    <row r="202" spans="1:7">
      <c r="A202" s="22"/>
      <c r="B202" s="22"/>
      <c r="C202" s="22"/>
      <c r="D202" s="22"/>
      <c r="E202" s="22"/>
      <c r="F202" s="22"/>
      <c r="G202" s="22"/>
    </row>
    <row r="203" spans="1:7">
      <c r="A203" s="22"/>
      <c r="B203" s="22"/>
      <c r="C203" s="22"/>
      <c r="D203" s="22"/>
      <c r="E203" s="22"/>
      <c r="F203" s="22"/>
      <c r="G203" s="22"/>
    </row>
    <row r="204" spans="1:7">
      <c r="A204" s="22"/>
      <c r="B204" s="22"/>
      <c r="C204" s="22"/>
      <c r="D204" s="22"/>
      <c r="E204" s="22"/>
      <c r="F204" s="22"/>
      <c r="G204" s="22"/>
    </row>
    <row r="205" spans="1:7">
      <c r="A205" s="22"/>
      <c r="B205" s="22"/>
      <c r="C205" s="22"/>
      <c r="D205" s="22"/>
      <c r="E205" s="22"/>
      <c r="F205" s="22"/>
      <c r="G205" s="22"/>
    </row>
    <row r="206" spans="1:7">
      <c r="A206" s="22"/>
      <c r="B206" s="22"/>
      <c r="C206" s="22"/>
      <c r="D206" s="22"/>
      <c r="E206" s="22"/>
      <c r="F206" s="22"/>
      <c r="G206" s="22"/>
    </row>
    <row r="207" spans="1:7">
      <c r="A207" s="22"/>
      <c r="B207" s="22"/>
      <c r="C207" s="22"/>
      <c r="D207" s="22"/>
      <c r="E207" s="22"/>
      <c r="F207" s="22"/>
      <c r="G207" s="22"/>
    </row>
    <row r="208" spans="1:7">
      <c r="A208" s="22"/>
      <c r="B208" s="22"/>
      <c r="C208" s="22"/>
      <c r="D208" s="22"/>
      <c r="E208" s="22"/>
      <c r="F208" s="22"/>
      <c r="G208" s="22"/>
    </row>
    <row r="209" spans="1:7">
      <c r="A209" s="22"/>
      <c r="B209" s="22"/>
      <c r="C209" s="22"/>
      <c r="D209" s="22"/>
      <c r="E209" s="22"/>
      <c r="F209" s="22"/>
      <c r="G209" s="22"/>
    </row>
    <row r="210" spans="1:7">
      <c r="A210" s="22"/>
      <c r="B210" s="22"/>
      <c r="C210" s="22"/>
      <c r="D210" s="22"/>
      <c r="E210" s="22"/>
      <c r="F210" s="22"/>
      <c r="G210" s="22"/>
    </row>
    <row r="211" spans="1:7">
      <c r="A211" s="22"/>
      <c r="B211" s="22"/>
      <c r="C211" s="22"/>
      <c r="D211" s="22"/>
      <c r="E211" s="22"/>
      <c r="F211" s="22"/>
      <c r="G211" s="22"/>
    </row>
    <row r="212" spans="1:7">
      <c r="A212" s="22"/>
      <c r="B212" s="22"/>
      <c r="C212" s="22"/>
      <c r="D212" s="22"/>
      <c r="E212" s="22"/>
      <c r="F212" s="22"/>
      <c r="G212" s="22"/>
    </row>
    <row r="213" spans="1:7">
      <c r="A213" s="22"/>
      <c r="B213" s="22"/>
      <c r="C213" s="22"/>
      <c r="D213" s="22"/>
      <c r="E213" s="22"/>
      <c r="F213" s="22"/>
      <c r="G213" s="22"/>
    </row>
    <row r="214" spans="1:7">
      <c r="A214" s="22"/>
      <c r="B214" s="22"/>
      <c r="C214" s="22"/>
      <c r="D214" s="22"/>
      <c r="E214" s="22"/>
      <c r="F214" s="22"/>
      <c r="G214" s="22"/>
    </row>
    <row r="215" spans="1:7">
      <c r="A215" s="22"/>
      <c r="B215" s="22"/>
      <c r="C215" s="22"/>
      <c r="D215" s="22"/>
      <c r="E215" s="22"/>
      <c r="F215" s="22"/>
      <c r="G215" s="22"/>
    </row>
    <row r="216" spans="1:7">
      <c r="A216" s="22"/>
      <c r="B216" s="22"/>
      <c r="C216" s="22"/>
      <c r="D216" s="22"/>
      <c r="E216" s="22"/>
      <c r="F216" s="22"/>
      <c r="G216" s="22"/>
    </row>
    <row r="217" spans="1:7">
      <c r="A217" s="22"/>
      <c r="B217" s="22"/>
      <c r="C217" s="22"/>
      <c r="D217" s="22"/>
      <c r="E217" s="22"/>
      <c r="F217" s="22"/>
      <c r="G217" s="22"/>
    </row>
    <row r="218" spans="1:7">
      <c r="A218" s="22"/>
      <c r="B218" s="22"/>
      <c r="C218" s="22"/>
      <c r="D218" s="22"/>
      <c r="E218" s="22"/>
      <c r="F218" s="22"/>
      <c r="G218" s="22"/>
    </row>
    <row r="219" spans="1:7">
      <c r="A219" s="22"/>
      <c r="B219" s="22"/>
      <c r="C219" s="22"/>
      <c r="D219" s="22"/>
      <c r="E219" s="22"/>
      <c r="F219" s="22"/>
      <c r="G219" s="22"/>
    </row>
    <row r="220" spans="1:7">
      <c r="A220" s="22"/>
      <c r="B220" s="22"/>
      <c r="C220" s="22"/>
      <c r="D220" s="22"/>
      <c r="E220" s="22"/>
      <c r="F220" s="22"/>
      <c r="G220" s="22"/>
    </row>
    <row r="221" spans="1:7">
      <c r="A221" s="22"/>
      <c r="B221" s="22"/>
      <c r="C221" s="22"/>
      <c r="D221" s="22"/>
      <c r="E221" s="22"/>
      <c r="F221" s="22"/>
      <c r="G221" s="22"/>
    </row>
    <row r="222" spans="1:7">
      <c r="A222" s="22"/>
      <c r="B222" s="22"/>
      <c r="C222" s="22"/>
      <c r="D222" s="22"/>
      <c r="E222" s="22"/>
      <c r="F222" s="22"/>
      <c r="G222" s="22"/>
    </row>
    <row r="223" spans="1:7">
      <c r="A223" s="22"/>
      <c r="B223" s="22"/>
      <c r="C223" s="22"/>
      <c r="D223" s="22"/>
      <c r="E223" s="22"/>
      <c r="F223" s="22"/>
      <c r="G223" s="22"/>
    </row>
    <row r="224" spans="1:7">
      <c r="A224" s="22"/>
      <c r="B224" s="22"/>
      <c r="C224" s="22"/>
      <c r="D224" s="22"/>
      <c r="E224" s="22"/>
      <c r="F224" s="22"/>
      <c r="G224" s="22"/>
    </row>
    <row r="225" spans="1:7">
      <c r="A225" s="22"/>
      <c r="B225" s="22"/>
      <c r="C225" s="22"/>
      <c r="D225" s="22"/>
      <c r="E225" s="22"/>
      <c r="F225" s="22"/>
      <c r="G225" s="22"/>
    </row>
    <row r="226" spans="1:7">
      <c r="A226" s="22"/>
      <c r="B226" s="22"/>
      <c r="C226" s="22"/>
      <c r="D226" s="22"/>
      <c r="E226" s="22"/>
      <c r="F226" s="22"/>
      <c r="G226" s="22"/>
    </row>
    <row r="227" spans="1:7">
      <c r="A227" s="22"/>
      <c r="B227" s="22"/>
      <c r="C227" s="22"/>
      <c r="D227" s="22"/>
      <c r="E227" s="22"/>
      <c r="F227" s="22"/>
      <c r="G227" s="22"/>
    </row>
    <row r="228" spans="1:7">
      <c r="A228" s="22"/>
      <c r="B228" s="22"/>
      <c r="C228" s="22"/>
      <c r="D228" s="22"/>
      <c r="E228" s="22"/>
      <c r="F228" s="22"/>
      <c r="G228" s="22"/>
    </row>
    <row r="229" spans="1:7">
      <c r="A229" s="22"/>
      <c r="B229" s="22"/>
      <c r="C229" s="22"/>
      <c r="D229" s="22"/>
      <c r="E229" s="22"/>
      <c r="F229" s="22"/>
      <c r="G229" s="22"/>
    </row>
    <row r="230" spans="1:7">
      <c r="A230" s="22"/>
      <c r="B230" s="22"/>
      <c r="C230" s="22"/>
      <c r="D230" s="22"/>
      <c r="E230" s="22"/>
      <c r="F230" s="22"/>
      <c r="G230" s="22"/>
    </row>
    <row r="231" spans="1:7">
      <c r="A231" s="22"/>
      <c r="B231" s="22"/>
      <c r="C231" s="22"/>
      <c r="D231" s="22"/>
      <c r="E231" s="22"/>
      <c r="F231" s="22"/>
      <c r="G231" s="22"/>
    </row>
    <row r="232" spans="1:7">
      <c r="A232" s="22"/>
      <c r="B232" s="22"/>
      <c r="C232" s="22"/>
      <c r="D232" s="22"/>
      <c r="E232" s="22"/>
      <c r="F232" s="22"/>
      <c r="G232" s="22"/>
    </row>
    <row r="233" spans="1:7">
      <c r="A233" s="22"/>
      <c r="B233" s="22"/>
      <c r="C233" s="22"/>
      <c r="D233" s="22"/>
      <c r="E233" s="22"/>
      <c r="F233" s="22"/>
      <c r="G233" s="22"/>
    </row>
    <row r="234" spans="1:7">
      <c r="A234" s="22"/>
      <c r="B234" s="22"/>
      <c r="C234" s="22"/>
      <c r="D234" s="22"/>
      <c r="E234" s="22"/>
      <c r="F234" s="22"/>
      <c r="G234" s="22"/>
    </row>
    <row r="235" spans="1:7">
      <c r="A235" s="22"/>
      <c r="B235" s="22"/>
      <c r="C235" s="22"/>
      <c r="D235" s="22"/>
      <c r="E235" s="22"/>
      <c r="F235" s="22"/>
      <c r="G235" s="22"/>
    </row>
    <row r="236" spans="1:7">
      <c r="A236" s="22"/>
      <c r="B236" s="22"/>
      <c r="C236" s="22"/>
      <c r="D236" s="22"/>
      <c r="E236" s="22"/>
      <c r="F236" s="22"/>
      <c r="G236" s="22"/>
    </row>
    <row r="237" spans="1:7">
      <c r="A237" s="22"/>
      <c r="B237" s="22"/>
      <c r="C237" s="22"/>
      <c r="D237" s="22"/>
      <c r="E237" s="22"/>
      <c r="F237" s="22"/>
      <c r="G237" s="22"/>
    </row>
    <row r="238" spans="1:7">
      <c r="A238" s="22"/>
      <c r="B238" s="22"/>
      <c r="C238" s="22"/>
      <c r="D238" s="22"/>
      <c r="E238" s="22"/>
      <c r="F238" s="22"/>
      <c r="G238" s="22"/>
    </row>
    <row r="239" spans="1:7">
      <c r="A239" s="22"/>
      <c r="B239" s="22"/>
      <c r="C239" s="22"/>
      <c r="D239" s="22"/>
      <c r="E239" s="22"/>
      <c r="F239" s="22"/>
      <c r="G239" s="22"/>
    </row>
    <row r="240" spans="1:7">
      <c r="A240" s="22"/>
      <c r="B240" s="22"/>
      <c r="C240" s="22"/>
      <c r="D240" s="22"/>
      <c r="E240" s="22"/>
      <c r="F240" s="22"/>
      <c r="G240" s="22"/>
    </row>
    <row r="241" spans="1:7">
      <c r="A241" s="22"/>
      <c r="B241" s="22"/>
      <c r="C241" s="22"/>
      <c r="D241" s="22"/>
      <c r="E241" s="22"/>
      <c r="F241" s="22"/>
      <c r="G241" s="22"/>
    </row>
    <row r="242" spans="1:7">
      <c r="A242" s="22"/>
      <c r="B242" s="22"/>
      <c r="C242" s="22"/>
      <c r="D242" s="22"/>
      <c r="E242" s="22"/>
      <c r="F242" s="22"/>
      <c r="G242" s="22"/>
    </row>
    <row r="243" spans="1:7">
      <c r="A243" s="22"/>
      <c r="B243" s="22"/>
      <c r="C243" s="22"/>
      <c r="D243" s="22"/>
      <c r="E243" s="22"/>
      <c r="F243" s="22"/>
      <c r="G243" s="22"/>
    </row>
    <row r="244" spans="1:7">
      <c r="A244" s="22"/>
      <c r="B244" s="22"/>
      <c r="C244" s="22"/>
      <c r="D244" s="22"/>
      <c r="E244" s="22"/>
      <c r="F244" s="22"/>
      <c r="G244" s="22"/>
    </row>
    <row r="245" spans="1:7">
      <c r="A245" s="22"/>
      <c r="B245" s="22"/>
      <c r="C245" s="22"/>
      <c r="D245" s="22"/>
      <c r="E245" s="22"/>
      <c r="F245" s="22"/>
      <c r="G245" s="22"/>
    </row>
    <row r="246" spans="1:7">
      <c r="A246" s="22"/>
      <c r="B246" s="22"/>
      <c r="C246" s="22"/>
      <c r="D246" s="22"/>
      <c r="E246" s="22"/>
      <c r="F246" s="22"/>
      <c r="G246" s="22"/>
    </row>
    <row r="247" spans="1:7">
      <c r="A247" s="22"/>
      <c r="B247" s="22"/>
      <c r="C247" s="22"/>
      <c r="D247" s="22"/>
      <c r="E247" s="22"/>
      <c r="F247" s="22"/>
      <c r="G247" s="22"/>
    </row>
    <row r="248" spans="1:7">
      <c r="A248" s="22"/>
      <c r="B248" s="22"/>
      <c r="C248" s="22"/>
      <c r="D248" s="22"/>
      <c r="E248" s="22"/>
      <c r="F248" s="22"/>
      <c r="G248" s="22"/>
    </row>
    <row r="249" spans="1:7">
      <c r="A249" s="22"/>
      <c r="B249" s="22"/>
      <c r="C249" s="22"/>
      <c r="D249" s="22"/>
      <c r="E249" s="22"/>
      <c r="F249" s="22"/>
      <c r="G249" s="22"/>
    </row>
    <row r="250" spans="1:7">
      <c r="A250" s="22"/>
      <c r="B250" s="22"/>
      <c r="C250" s="22"/>
      <c r="D250" s="22"/>
      <c r="E250" s="22"/>
      <c r="F250" s="22"/>
      <c r="G250" s="22"/>
    </row>
    <row r="251" spans="1:7">
      <c r="A251" s="22"/>
      <c r="B251" s="22"/>
      <c r="C251" s="22"/>
      <c r="D251" s="22"/>
      <c r="E251" s="22"/>
      <c r="F251" s="22"/>
      <c r="G251" s="22"/>
    </row>
    <row r="252" spans="1:7">
      <c r="A252" s="22"/>
      <c r="B252" s="22"/>
      <c r="C252" s="22"/>
      <c r="D252" s="22"/>
      <c r="E252" s="22"/>
      <c r="F252" s="22"/>
      <c r="G252" s="22"/>
    </row>
    <row r="253" spans="1:7">
      <c r="A253" s="22"/>
      <c r="B253" s="22"/>
      <c r="C253" s="22"/>
      <c r="D253" s="22"/>
      <c r="E253" s="22"/>
      <c r="F253" s="22"/>
      <c r="G253" s="22"/>
    </row>
    <row r="254" spans="1:7">
      <c r="A254" s="22"/>
      <c r="B254" s="22"/>
      <c r="C254" s="22"/>
      <c r="D254" s="22"/>
      <c r="E254" s="22"/>
      <c r="F254" s="22"/>
      <c r="G254" s="22"/>
    </row>
    <row r="255" spans="1:7">
      <c r="A255" s="22"/>
      <c r="B255" s="22"/>
      <c r="C255" s="22"/>
      <c r="D255" s="22"/>
      <c r="E255" s="22"/>
      <c r="F255" s="22"/>
      <c r="G255" s="22"/>
    </row>
    <row r="256" spans="1:7">
      <c r="A256" s="22"/>
      <c r="B256" s="22"/>
      <c r="C256" s="22"/>
      <c r="D256" s="22"/>
      <c r="E256" s="22"/>
      <c r="F256" s="22"/>
      <c r="G256" s="22"/>
    </row>
    <row r="257" spans="1:7">
      <c r="A257" s="22"/>
      <c r="B257" s="22"/>
      <c r="C257" s="22"/>
      <c r="D257" s="22"/>
      <c r="E257" s="22"/>
      <c r="F257" s="22"/>
      <c r="G257" s="22"/>
    </row>
    <row r="258" spans="1:7">
      <c r="A258" s="22"/>
      <c r="B258" s="22"/>
      <c r="C258" s="22"/>
      <c r="D258" s="22"/>
      <c r="E258" s="22"/>
      <c r="F258" s="22"/>
      <c r="G258" s="22"/>
    </row>
    <row r="259" spans="1:7">
      <c r="A259" s="22"/>
      <c r="B259" s="22"/>
      <c r="C259" s="22"/>
      <c r="D259" s="22"/>
      <c r="E259" s="22"/>
      <c r="F259" s="22"/>
      <c r="G259" s="22"/>
    </row>
    <row r="260" spans="1:7">
      <c r="A260" s="22"/>
      <c r="B260" s="22"/>
      <c r="C260" s="22"/>
      <c r="D260" s="22"/>
      <c r="E260" s="22"/>
      <c r="F260" s="22"/>
      <c r="G260" s="22"/>
    </row>
    <row r="261" spans="1:7">
      <c r="A261" s="22"/>
      <c r="B261" s="22"/>
      <c r="C261" s="22"/>
      <c r="D261" s="22"/>
      <c r="E261" s="22"/>
      <c r="F261" s="22"/>
      <c r="G261" s="22"/>
    </row>
    <row r="262" spans="1:7">
      <c r="A262" s="22"/>
      <c r="B262" s="22"/>
      <c r="C262" s="22"/>
      <c r="D262" s="22"/>
      <c r="E262" s="22"/>
      <c r="F262" s="22"/>
      <c r="G262" s="22"/>
    </row>
    <row r="263" spans="1:7">
      <c r="A263" s="22"/>
      <c r="B263" s="22"/>
      <c r="C263" s="22"/>
      <c r="D263" s="22"/>
      <c r="E263" s="22"/>
      <c r="F263" s="22"/>
      <c r="G263" s="22"/>
    </row>
    <row r="264" spans="1:7">
      <c r="A264" s="22"/>
      <c r="B264" s="22"/>
      <c r="C264" s="22"/>
      <c r="D264" s="22"/>
      <c r="E264" s="22"/>
      <c r="F264" s="22"/>
      <c r="G264" s="22"/>
    </row>
    <row r="265" spans="1:7">
      <c r="A265" s="22"/>
      <c r="B265" s="22"/>
      <c r="C265" s="22"/>
      <c r="D265" s="22"/>
      <c r="E265" s="22"/>
      <c r="F265" s="22"/>
      <c r="G265" s="22"/>
    </row>
    <row r="266" spans="1:7">
      <c r="A266" s="22"/>
      <c r="B266" s="22"/>
      <c r="C266" s="22"/>
      <c r="D266" s="22"/>
      <c r="E266" s="22"/>
      <c r="F266" s="22"/>
      <c r="G266" s="22"/>
    </row>
    <row r="267" spans="1:7">
      <c r="A267" s="22"/>
      <c r="B267" s="22"/>
      <c r="C267" s="22"/>
      <c r="D267" s="22"/>
      <c r="E267" s="22"/>
      <c r="F267" s="22"/>
      <c r="G267" s="22"/>
    </row>
    <row r="268" spans="1:7">
      <c r="A268" s="22"/>
      <c r="B268" s="22"/>
      <c r="C268" s="22"/>
      <c r="D268" s="22"/>
      <c r="E268" s="22"/>
      <c r="F268" s="22"/>
      <c r="G268" s="22"/>
    </row>
    <row r="269" spans="1:7">
      <c r="A269" s="22"/>
      <c r="B269" s="22"/>
      <c r="C269" s="22"/>
      <c r="D269" s="22"/>
      <c r="E269" s="22"/>
      <c r="F269" s="22"/>
      <c r="G269" s="22"/>
    </row>
    <row r="270" spans="1:7">
      <c r="A270" s="22"/>
      <c r="B270" s="22"/>
      <c r="C270" s="22"/>
      <c r="D270" s="22"/>
      <c r="E270" s="22"/>
      <c r="F270" s="22"/>
      <c r="G270" s="22"/>
    </row>
    <row r="271" spans="1:7">
      <c r="A271" s="22"/>
      <c r="B271" s="22"/>
      <c r="C271" s="22"/>
      <c r="D271" s="22"/>
      <c r="E271" s="22"/>
      <c r="F271" s="22"/>
      <c r="G271" s="22"/>
    </row>
    <row r="272" spans="1:7">
      <c r="A272" s="22"/>
      <c r="B272" s="22"/>
      <c r="C272" s="22"/>
      <c r="D272" s="22"/>
      <c r="E272" s="22"/>
      <c r="F272" s="22"/>
      <c r="G272" s="22"/>
    </row>
    <row r="273" spans="1:7">
      <c r="A273" s="22"/>
      <c r="B273" s="22"/>
      <c r="C273" s="22"/>
      <c r="D273" s="22"/>
      <c r="E273" s="22"/>
      <c r="F273" s="22"/>
      <c r="G273" s="22"/>
    </row>
    <row r="274" spans="1:7">
      <c r="A274" s="22"/>
      <c r="B274" s="22"/>
      <c r="C274" s="22"/>
      <c r="D274" s="22"/>
      <c r="E274" s="22"/>
      <c r="F274" s="22"/>
      <c r="G274" s="22"/>
    </row>
    <row r="275" spans="1:7">
      <c r="A275" s="22"/>
      <c r="B275" s="22"/>
      <c r="C275" s="22"/>
      <c r="D275" s="22"/>
      <c r="E275" s="22"/>
      <c r="F275" s="22"/>
      <c r="G275" s="22"/>
    </row>
    <row r="276" spans="1:7">
      <c r="A276" s="22"/>
      <c r="B276" s="22"/>
      <c r="C276" s="22"/>
      <c r="D276" s="22"/>
      <c r="E276" s="22"/>
      <c r="F276" s="22"/>
      <c r="G276" s="22"/>
    </row>
    <row r="277" spans="1:7">
      <c r="A277" s="22"/>
      <c r="B277" s="22"/>
      <c r="C277" s="22"/>
      <c r="D277" s="22"/>
      <c r="E277" s="22"/>
      <c r="F277" s="22"/>
      <c r="G277" s="22"/>
    </row>
    <row r="278" spans="1:7">
      <c r="A278" s="22"/>
      <c r="B278" s="22"/>
      <c r="C278" s="22"/>
      <c r="D278" s="22"/>
      <c r="E278" s="22"/>
      <c r="F278" s="22"/>
      <c r="G278" s="22"/>
    </row>
    <row r="279" spans="1:7">
      <c r="A279" s="22"/>
      <c r="B279" s="22"/>
      <c r="C279" s="22"/>
      <c r="D279" s="22"/>
      <c r="E279" s="22"/>
      <c r="F279" s="22"/>
      <c r="G279" s="22"/>
    </row>
    <row r="280" spans="1:7">
      <c r="A280" s="22"/>
      <c r="B280" s="22"/>
      <c r="C280" s="22"/>
      <c r="D280" s="22"/>
      <c r="E280" s="22"/>
      <c r="F280" s="22"/>
      <c r="G280" s="22"/>
    </row>
    <row r="281" spans="1:7">
      <c r="A281" s="22"/>
      <c r="B281" s="22"/>
      <c r="C281" s="22"/>
      <c r="D281" s="22"/>
      <c r="E281" s="22"/>
      <c r="F281" s="22"/>
      <c r="G281" s="22"/>
    </row>
    <row r="282" spans="1:7">
      <c r="A282" s="22"/>
      <c r="B282" s="22"/>
      <c r="C282" s="22"/>
      <c r="D282" s="22"/>
      <c r="E282" s="22"/>
      <c r="F282" s="22"/>
      <c r="G282" s="22"/>
    </row>
    <row r="283" spans="1:7">
      <c r="A283" s="22"/>
      <c r="B283" s="22"/>
      <c r="C283" s="22"/>
      <c r="D283" s="22"/>
      <c r="E283" s="22"/>
      <c r="F283" s="22"/>
      <c r="G283" s="22"/>
    </row>
    <row r="284" spans="1:7">
      <c r="A284" s="22"/>
      <c r="B284" s="22"/>
      <c r="C284" s="22"/>
      <c r="D284" s="22"/>
      <c r="E284" s="22"/>
      <c r="F284" s="22"/>
      <c r="G284" s="22"/>
    </row>
    <row r="285" spans="1:7">
      <c r="A285" s="22"/>
      <c r="B285" s="22"/>
      <c r="C285" s="22"/>
      <c r="D285" s="22"/>
      <c r="E285" s="22"/>
      <c r="F285" s="22"/>
      <c r="G285" s="22"/>
    </row>
    <row r="286" spans="1:7">
      <c r="A286" s="22"/>
      <c r="B286" s="22"/>
      <c r="C286" s="22"/>
      <c r="D286" s="22"/>
      <c r="E286" s="22"/>
      <c r="F286" s="22"/>
      <c r="G286" s="22"/>
    </row>
    <row r="287" spans="1:7">
      <c r="A287" s="22"/>
      <c r="B287" s="22"/>
      <c r="C287" s="22"/>
      <c r="D287" s="22"/>
      <c r="E287" s="22"/>
      <c r="F287" s="22"/>
      <c r="G287" s="22"/>
    </row>
    <row r="288" spans="1:7">
      <c r="A288" s="22"/>
      <c r="B288" s="22"/>
      <c r="C288" s="22"/>
      <c r="D288" s="22"/>
      <c r="E288" s="22"/>
      <c r="F288" s="22"/>
      <c r="G288" s="22"/>
    </row>
    <row r="289" spans="1:7">
      <c r="A289" s="22"/>
      <c r="B289" s="22"/>
      <c r="C289" s="22"/>
      <c r="D289" s="22"/>
      <c r="E289" s="22"/>
      <c r="F289" s="22"/>
      <c r="G289" s="22"/>
    </row>
    <row r="290" spans="1:7">
      <c r="A290" s="22"/>
      <c r="B290" s="22"/>
      <c r="C290" s="22"/>
      <c r="D290" s="22"/>
      <c r="E290" s="22"/>
      <c r="F290" s="22"/>
      <c r="G290" s="22"/>
    </row>
    <row r="291" spans="1:7">
      <c r="A291" s="22"/>
      <c r="B291" s="22"/>
      <c r="C291" s="22"/>
      <c r="D291" s="22"/>
      <c r="E291" s="22"/>
      <c r="F291" s="22"/>
      <c r="G291" s="22"/>
    </row>
    <row r="292" spans="1:7">
      <c r="A292" s="22"/>
      <c r="B292" s="22"/>
      <c r="C292" s="22"/>
      <c r="D292" s="22"/>
      <c r="E292" s="22"/>
      <c r="F292" s="22"/>
      <c r="G292" s="22"/>
    </row>
    <row r="293" spans="1:7">
      <c r="A293" s="22"/>
      <c r="B293" s="22"/>
      <c r="C293" s="22"/>
      <c r="D293" s="22"/>
      <c r="E293" s="22"/>
      <c r="F293" s="22"/>
      <c r="G293" s="22"/>
    </row>
    <row r="294" spans="1:7">
      <c r="A294" s="22"/>
      <c r="B294" s="22"/>
      <c r="C294" s="22"/>
      <c r="D294" s="22"/>
      <c r="E294" s="22"/>
      <c r="F294" s="22"/>
      <c r="G294" s="22"/>
    </row>
    <row r="295" spans="1:7">
      <c r="A295" s="22"/>
      <c r="B295" s="22"/>
      <c r="C295" s="22"/>
      <c r="D295" s="22"/>
      <c r="E295" s="22"/>
      <c r="F295" s="22"/>
      <c r="G295" s="22"/>
    </row>
    <row r="296" spans="1:7">
      <c r="A296" s="22"/>
      <c r="B296" s="22"/>
      <c r="C296" s="22"/>
      <c r="D296" s="22"/>
      <c r="E296" s="22"/>
      <c r="F296" s="22"/>
      <c r="G296" s="22"/>
    </row>
    <row r="297" spans="1:7">
      <c r="A297" s="22"/>
      <c r="B297" s="22"/>
      <c r="C297" s="22"/>
      <c r="D297" s="22"/>
      <c r="E297" s="22"/>
      <c r="F297" s="22"/>
      <c r="G297" s="22"/>
    </row>
    <row r="298" spans="1:7">
      <c r="A298" s="22"/>
      <c r="B298" s="22"/>
      <c r="C298" s="22"/>
      <c r="D298" s="22"/>
      <c r="E298" s="22"/>
      <c r="F298" s="22"/>
      <c r="G298" s="22"/>
    </row>
    <row r="299" spans="1:7">
      <c r="A299" s="22"/>
      <c r="B299" s="22"/>
      <c r="C299" s="22"/>
      <c r="D299" s="22"/>
      <c r="E299" s="22"/>
      <c r="F299" s="22"/>
      <c r="G299" s="22"/>
    </row>
    <row r="300" spans="1:7">
      <c r="A300" s="22"/>
      <c r="B300" s="22"/>
      <c r="C300" s="22"/>
      <c r="D300" s="22"/>
      <c r="E300" s="22"/>
      <c r="F300" s="22"/>
      <c r="G300" s="22"/>
    </row>
    <row r="301" spans="1:7">
      <c r="A301" s="22"/>
      <c r="B301" s="22"/>
      <c r="C301" s="22"/>
      <c r="D301" s="22"/>
      <c r="E301" s="22"/>
      <c r="F301" s="22"/>
      <c r="G301" s="22"/>
    </row>
    <row r="302" spans="1:7">
      <c r="A302" s="22"/>
      <c r="B302" s="22"/>
      <c r="C302" s="22"/>
      <c r="D302" s="22"/>
      <c r="E302" s="22"/>
      <c r="F302" s="22"/>
      <c r="G302" s="22"/>
    </row>
    <row r="303" spans="1:7">
      <c r="A303" s="22"/>
      <c r="B303" s="22"/>
      <c r="C303" s="22"/>
      <c r="D303" s="22"/>
      <c r="E303" s="22"/>
      <c r="F303" s="22"/>
      <c r="G303" s="22"/>
    </row>
    <row r="304" spans="1:7">
      <c r="A304" s="22"/>
      <c r="B304" s="22"/>
      <c r="C304" s="22"/>
      <c r="D304" s="22"/>
      <c r="E304" s="22"/>
      <c r="F304" s="22"/>
      <c r="G304" s="22"/>
    </row>
    <row r="305" spans="1:7">
      <c r="A305" s="22"/>
      <c r="B305" s="22"/>
      <c r="C305" s="22"/>
      <c r="D305" s="22"/>
      <c r="E305" s="22"/>
      <c r="F305" s="22"/>
      <c r="G305" s="22"/>
    </row>
    <row r="306" spans="1:7">
      <c r="A306" s="22"/>
      <c r="B306" s="22"/>
      <c r="C306" s="22"/>
      <c r="D306" s="22"/>
      <c r="E306" s="22"/>
      <c r="F306" s="22"/>
      <c r="G306" s="22"/>
    </row>
    <row r="307" spans="1:7">
      <c r="A307" s="22"/>
      <c r="B307" s="22"/>
      <c r="C307" s="22"/>
      <c r="D307" s="22"/>
      <c r="E307" s="22"/>
      <c r="F307" s="22"/>
      <c r="G307" s="22"/>
    </row>
    <row r="308" spans="1:7">
      <c r="A308" s="22"/>
      <c r="B308" s="22"/>
      <c r="C308" s="22"/>
      <c r="D308" s="22"/>
      <c r="E308" s="22"/>
      <c r="F308" s="22"/>
      <c r="G308" s="22"/>
    </row>
    <row r="309" spans="1:7">
      <c r="A309" s="22"/>
      <c r="B309" s="22"/>
      <c r="C309" s="22"/>
      <c r="D309" s="22"/>
      <c r="E309" s="22"/>
      <c r="F309" s="22"/>
      <c r="G309" s="22"/>
    </row>
    <row r="310" spans="1:7">
      <c r="A310" s="22"/>
      <c r="B310" s="22"/>
      <c r="C310" s="22"/>
      <c r="D310" s="22"/>
      <c r="E310" s="22"/>
      <c r="F310" s="22"/>
      <c r="G310" s="22"/>
    </row>
    <row r="311" spans="1:7">
      <c r="A311" s="22"/>
      <c r="B311" s="22"/>
      <c r="C311" s="22"/>
      <c r="D311" s="22"/>
      <c r="E311" s="22"/>
      <c r="F311" s="22"/>
      <c r="G311" s="22"/>
    </row>
    <row r="312" spans="1:7">
      <c r="A312" s="22"/>
      <c r="B312" s="22"/>
      <c r="C312" s="22"/>
      <c r="D312" s="22"/>
      <c r="E312" s="22"/>
      <c r="F312" s="22"/>
      <c r="G312" s="22"/>
    </row>
    <row r="313" spans="1:7">
      <c r="A313" s="22"/>
      <c r="B313" s="22"/>
      <c r="C313" s="22"/>
      <c r="D313" s="22"/>
      <c r="E313" s="22"/>
      <c r="F313" s="22"/>
      <c r="G313" s="22"/>
    </row>
    <row r="314" spans="1:7">
      <c r="A314" s="22"/>
      <c r="B314" s="22"/>
      <c r="C314" s="22"/>
      <c r="D314" s="22"/>
      <c r="E314" s="22"/>
      <c r="F314" s="22"/>
      <c r="G314" s="22"/>
    </row>
    <row r="315" spans="1:7">
      <c r="A315" s="22"/>
      <c r="B315" s="22"/>
      <c r="C315" s="22"/>
      <c r="D315" s="22"/>
      <c r="E315" s="22"/>
      <c r="F315" s="22"/>
      <c r="G315" s="22"/>
    </row>
    <row r="316" spans="1:7">
      <c r="A316" s="22"/>
      <c r="B316" s="22"/>
      <c r="C316" s="22"/>
      <c r="D316" s="22"/>
      <c r="E316" s="22"/>
      <c r="F316" s="22"/>
      <c r="G316" s="22"/>
    </row>
    <row r="317" spans="1:7">
      <c r="A317" s="22"/>
      <c r="B317" s="22"/>
      <c r="C317" s="22"/>
      <c r="D317" s="22"/>
      <c r="E317" s="22"/>
      <c r="F317" s="22"/>
      <c r="G317" s="22"/>
    </row>
    <row r="318" spans="1:7">
      <c r="A318" s="22"/>
      <c r="B318" s="22"/>
      <c r="C318" s="22"/>
      <c r="D318" s="22"/>
      <c r="E318" s="22"/>
      <c r="F318" s="22"/>
      <c r="G318" s="22"/>
    </row>
    <row r="319" spans="1:7">
      <c r="A319" s="22"/>
      <c r="B319" s="22"/>
      <c r="C319" s="22"/>
      <c r="D319" s="22"/>
      <c r="E319" s="22"/>
      <c r="F319" s="22"/>
      <c r="G319" s="22"/>
    </row>
    <row r="320" spans="1:7">
      <c r="A320" s="22"/>
      <c r="B320" s="22"/>
      <c r="C320" s="22"/>
      <c r="D320" s="22"/>
      <c r="E320" s="22"/>
      <c r="F320" s="22"/>
      <c r="G320" s="22"/>
    </row>
    <row r="321" spans="1:7">
      <c r="A321" s="22"/>
      <c r="B321" s="22"/>
      <c r="C321" s="22"/>
      <c r="D321" s="22"/>
      <c r="E321" s="22"/>
      <c r="F321" s="22"/>
      <c r="G321" s="22"/>
    </row>
    <row r="322" spans="1:7">
      <c r="A322" s="22"/>
      <c r="B322" s="22"/>
      <c r="C322" s="22"/>
      <c r="D322" s="22"/>
      <c r="E322" s="22"/>
      <c r="F322" s="22"/>
      <c r="G322" s="22"/>
    </row>
    <row r="323" spans="1:7">
      <c r="A323" s="22"/>
      <c r="B323" s="22"/>
      <c r="C323" s="22"/>
      <c r="D323" s="22"/>
      <c r="E323" s="22"/>
      <c r="F323" s="22"/>
      <c r="G323" s="22"/>
    </row>
    <row r="324" spans="1:7">
      <c r="A324" s="22"/>
      <c r="B324" s="22"/>
      <c r="C324" s="22"/>
      <c r="D324" s="22"/>
      <c r="E324" s="22"/>
      <c r="F324" s="22"/>
      <c r="G324" s="22"/>
    </row>
    <row r="325" spans="1:7">
      <c r="A325" s="22"/>
      <c r="B325" s="22"/>
      <c r="C325" s="22"/>
      <c r="D325" s="22"/>
      <c r="E325" s="22"/>
      <c r="F325" s="22"/>
      <c r="G325" s="22"/>
    </row>
    <row r="326" spans="1:7">
      <c r="A326" s="22"/>
      <c r="B326" s="22"/>
      <c r="C326" s="22"/>
      <c r="D326" s="22"/>
      <c r="E326" s="22"/>
      <c r="F326" s="22"/>
      <c r="G326" s="22"/>
    </row>
    <row r="327" spans="1:7">
      <c r="A327" s="22"/>
      <c r="B327" s="22"/>
      <c r="C327" s="22"/>
      <c r="D327" s="22"/>
      <c r="E327" s="22"/>
      <c r="F327" s="22"/>
      <c r="G327" s="22"/>
    </row>
    <row r="328" spans="1:7">
      <c r="A328" s="22"/>
      <c r="B328" s="22"/>
      <c r="C328" s="22"/>
      <c r="D328" s="22"/>
      <c r="E328" s="22"/>
      <c r="F328" s="22"/>
      <c r="G328" s="22"/>
    </row>
    <row r="329" spans="1:7">
      <c r="A329" s="22"/>
      <c r="B329" s="22"/>
      <c r="C329" s="22"/>
      <c r="D329" s="22"/>
      <c r="E329" s="22"/>
      <c r="F329" s="22"/>
      <c r="G329" s="22"/>
    </row>
    <row r="330" spans="1:7">
      <c r="A330" s="22"/>
      <c r="B330" s="22"/>
      <c r="C330" s="22"/>
      <c r="D330" s="22"/>
      <c r="E330" s="22"/>
      <c r="F330" s="22"/>
      <c r="G330" s="22"/>
    </row>
    <row r="331" spans="1:7">
      <c r="A331" s="22"/>
      <c r="B331" s="22"/>
      <c r="C331" s="22"/>
      <c r="D331" s="22"/>
      <c r="E331" s="22"/>
      <c r="F331" s="22"/>
      <c r="G331" s="22"/>
    </row>
    <row r="332" spans="1:7">
      <c r="A332" s="22"/>
      <c r="B332" s="22"/>
      <c r="C332" s="22"/>
      <c r="D332" s="22"/>
      <c r="E332" s="22"/>
      <c r="F332" s="22"/>
      <c r="G332" s="22"/>
    </row>
    <row r="333" spans="1:7">
      <c r="A333" s="22"/>
      <c r="B333" s="22"/>
      <c r="C333" s="22"/>
      <c r="D333" s="22"/>
      <c r="E333" s="22"/>
      <c r="F333" s="22"/>
      <c r="G333" s="22"/>
    </row>
    <row r="334" spans="1:7">
      <c r="A334" s="22"/>
      <c r="B334" s="22"/>
      <c r="C334" s="22"/>
      <c r="D334" s="22"/>
      <c r="E334" s="22"/>
      <c r="F334" s="22"/>
      <c r="G334" s="22"/>
    </row>
    <row r="335" spans="1:7">
      <c r="A335" s="22"/>
      <c r="B335" s="22"/>
      <c r="C335" s="22"/>
      <c r="D335" s="22"/>
      <c r="E335" s="22"/>
      <c r="F335" s="22"/>
      <c r="G335" s="22"/>
    </row>
    <row r="336" spans="1:7">
      <c r="A336" s="22"/>
      <c r="B336" s="22"/>
      <c r="C336" s="22"/>
      <c r="D336" s="22"/>
      <c r="E336" s="22"/>
      <c r="F336" s="22"/>
      <c r="G336" s="22"/>
    </row>
    <row r="337" spans="1:7">
      <c r="A337" s="22"/>
      <c r="B337" s="22"/>
      <c r="C337" s="22"/>
      <c r="D337" s="22"/>
      <c r="E337" s="22"/>
      <c r="F337" s="22"/>
      <c r="G337" s="22"/>
    </row>
    <row r="338" spans="1:7">
      <c r="A338" s="22"/>
      <c r="B338" s="22"/>
      <c r="C338" s="22"/>
      <c r="D338" s="22"/>
      <c r="E338" s="22"/>
      <c r="F338" s="22"/>
      <c r="G338" s="22"/>
    </row>
    <row r="339" spans="1:7">
      <c r="A339" s="22"/>
      <c r="B339" s="22"/>
      <c r="C339" s="22"/>
      <c r="D339" s="22"/>
      <c r="E339" s="22"/>
      <c r="F339" s="22"/>
      <c r="G339" s="22"/>
    </row>
    <row r="340" spans="1:7">
      <c r="A340" s="22"/>
      <c r="B340" s="22"/>
      <c r="C340" s="22"/>
      <c r="D340" s="22"/>
      <c r="E340" s="22"/>
      <c r="F340" s="22"/>
      <c r="G340" s="22"/>
    </row>
    <row r="341" spans="1:7">
      <c r="A341" s="22"/>
      <c r="B341" s="22"/>
      <c r="C341" s="22"/>
      <c r="D341" s="22"/>
      <c r="E341" s="22"/>
      <c r="F341" s="22"/>
      <c r="G341" s="22"/>
    </row>
    <row r="342" spans="1:7">
      <c r="A342" s="22"/>
      <c r="B342" s="22"/>
      <c r="C342" s="22"/>
      <c r="D342" s="22"/>
      <c r="E342" s="22"/>
      <c r="F342" s="22"/>
      <c r="G342" s="22"/>
    </row>
    <row r="343" spans="1:7">
      <c r="A343" s="22"/>
      <c r="B343" s="22"/>
      <c r="C343" s="22"/>
      <c r="D343" s="22"/>
      <c r="E343" s="22"/>
      <c r="F343" s="22"/>
      <c r="G343" s="22"/>
    </row>
    <row r="344" spans="1:7">
      <c r="A344" s="22"/>
      <c r="B344" s="22"/>
      <c r="C344" s="22"/>
      <c r="D344" s="22"/>
      <c r="E344" s="22"/>
      <c r="F344" s="22"/>
      <c r="G344" s="22"/>
    </row>
    <row r="345" spans="1:7">
      <c r="A345" s="22"/>
      <c r="B345" s="22"/>
      <c r="C345" s="22"/>
      <c r="D345" s="22"/>
      <c r="E345" s="22"/>
      <c r="F345" s="22"/>
      <c r="G345" s="22"/>
    </row>
    <row r="346" spans="1:7">
      <c r="A346" s="22"/>
      <c r="B346" s="22"/>
      <c r="C346" s="22"/>
      <c r="D346" s="22"/>
      <c r="E346" s="22"/>
      <c r="F346" s="22"/>
      <c r="G346" s="22"/>
    </row>
    <row r="347" spans="1:7">
      <c r="A347" s="22"/>
      <c r="B347" s="22"/>
      <c r="C347" s="22"/>
      <c r="D347" s="22"/>
      <c r="E347" s="22"/>
      <c r="F347" s="22"/>
      <c r="G347" s="22"/>
    </row>
    <row r="348" spans="1:7">
      <c r="A348" s="22"/>
      <c r="B348" s="22"/>
      <c r="C348" s="22"/>
      <c r="D348" s="22"/>
      <c r="E348" s="22"/>
      <c r="F348" s="22"/>
      <c r="G348" s="22"/>
    </row>
    <row r="349" spans="1:7">
      <c r="A349" s="22"/>
      <c r="B349" s="22"/>
      <c r="C349" s="22"/>
      <c r="D349" s="22"/>
      <c r="E349" s="22"/>
      <c r="F349" s="22"/>
      <c r="G349" s="22"/>
    </row>
    <row r="350" spans="1:7">
      <c r="A350" s="22"/>
      <c r="B350" s="22"/>
      <c r="C350" s="22"/>
      <c r="D350" s="22"/>
      <c r="E350" s="22"/>
      <c r="F350" s="22"/>
      <c r="G350" s="22"/>
    </row>
    <row r="351" spans="1:7">
      <c r="A351" s="22"/>
      <c r="B351" s="22"/>
      <c r="C351" s="22"/>
      <c r="D351" s="22"/>
      <c r="E351" s="22"/>
      <c r="F351" s="22"/>
      <c r="G351" s="22"/>
    </row>
    <row r="352" spans="1:7">
      <c r="A352" s="22"/>
      <c r="B352" s="22"/>
      <c r="C352" s="22"/>
      <c r="D352" s="22"/>
      <c r="E352" s="22"/>
      <c r="F352" s="22"/>
      <c r="G352" s="22"/>
    </row>
    <row r="353" spans="1:7">
      <c r="A353" s="22"/>
      <c r="B353" s="22"/>
      <c r="C353" s="22"/>
      <c r="D353" s="22"/>
      <c r="E353" s="22"/>
      <c r="F353" s="22"/>
      <c r="G353" s="22"/>
    </row>
    <row r="354" spans="1:7">
      <c r="A354" s="22"/>
      <c r="B354" s="22"/>
      <c r="C354" s="22"/>
      <c r="D354" s="22"/>
      <c r="E354" s="22"/>
      <c r="F354" s="22"/>
      <c r="G354" s="22"/>
    </row>
    <row r="355" spans="1:7">
      <c r="A355" s="22"/>
      <c r="B355" s="22"/>
      <c r="C355" s="22"/>
      <c r="D355" s="22"/>
      <c r="E355" s="22"/>
      <c r="F355" s="22"/>
      <c r="G355" s="22"/>
    </row>
    <row r="356" spans="1:7">
      <c r="A356" s="22"/>
      <c r="B356" s="22"/>
      <c r="C356" s="22"/>
      <c r="D356" s="22"/>
      <c r="E356" s="22"/>
      <c r="F356" s="22"/>
      <c r="G356" s="22"/>
    </row>
    <row r="357" spans="1:7">
      <c r="A357" s="22"/>
      <c r="B357" s="22"/>
      <c r="C357" s="22"/>
      <c r="D357" s="22"/>
      <c r="E357" s="22"/>
      <c r="F357" s="22"/>
      <c r="G357" s="22"/>
    </row>
    <row r="358" spans="1:7">
      <c r="A358" s="22"/>
      <c r="B358" s="22"/>
      <c r="C358" s="22"/>
      <c r="D358" s="22"/>
      <c r="E358" s="22"/>
      <c r="F358" s="22"/>
      <c r="G358" s="22"/>
    </row>
    <row r="359" spans="1:7">
      <c r="A359" s="22"/>
      <c r="B359" s="22"/>
      <c r="C359" s="22"/>
      <c r="D359" s="22"/>
      <c r="E359" s="22"/>
      <c r="F359" s="22"/>
      <c r="G359" s="22"/>
    </row>
    <row r="360" spans="1:7">
      <c r="A360" s="22"/>
      <c r="B360" s="22"/>
      <c r="C360" s="22"/>
      <c r="D360" s="22"/>
      <c r="E360" s="22"/>
      <c r="F360" s="22"/>
      <c r="G360" s="22"/>
    </row>
    <row r="361" spans="1:7">
      <c r="A361" s="22"/>
      <c r="B361" s="22"/>
      <c r="C361" s="22"/>
      <c r="D361" s="22"/>
      <c r="E361" s="22"/>
      <c r="F361" s="22"/>
      <c r="G361" s="22"/>
    </row>
    <row r="362" spans="1:7">
      <c r="A362" s="22"/>
      <c r="B362" s="22"/>
      <c r="C362" s="22"/>
      <c r="D362" s="22"/>
      <c r="E362" s="22"/>
      <c r="F362" s="22"/>
      <c r="G362" s="22"/>
    </row>
    <row r="363" spans="1:7">
      <c r="A363" s="22"/>
      <c r="B363" s="22"/>
      <c r="C363" s="22"/>
      <c r="D363" s="22"/>
      <c r="E363" s="22"/>
      <c r="F363" s="22"/>
      <c r="G363" s="22"/>
    </row>
    <row r="364" spans="1:7">
      <c r="A364" s="22"/>
      <c r="B364" s="22"/>
      <c r="C364" s="22"/>
      <c r="D364" s="22"/>
      <c r="E364" s="22"/>
      <c r="F364" s="22"/>
      <c r="G364" s="22"/>
    </row>
    <row r="365" spans="1:7">
      <c r="A365" s="22"/>
      <c r="B365" s="22"/>
      <c r="C365" s="22"/>
      <c r="D365" s="22"/>
      <c r="E365" s="22"/>
      <c r="F365" s="22"/>
      <c r="G365" s="22"/>
    </row>
    <row r="366" spans="1:7">
      <c r="A366" s="22"/>
      <c r="B366" s="22"/>
      <c r="C366" s="22"/>
      <c r="D366" s="22"/>
      <c r="E366" s="22"/>
      <c r="F366" s="22"/>
      <c r="G366" s="22"/>
    </row>
    <row r="367" spans="1:7">
      <c r="A367" s="22"/>
      <c r="B367" s="22"/>
      <c r="C367" s="22"/>
      <c r="D367" s="22"/>
      <c r="E367" s="22"/>
      <c r="F367" s="22"/>
      <c r="G367" s="22"/>
    </row>
    <row r="368" spans="1:7">
      <c r="A368" s="22"/>
      <c r="B368" s="22"/>
      <c r="C368" s="22"/>
      <c r="D368" s="22"/>
      <c r="E368" s="22"/>
      <c r="F368" s="22"/>
      <c r="G368" s="22"/>
    </row>
    <row r="369" spans="1:7">
      <c r="A369" s="22"/>
      <c r="B369" s="22"/>
      <c r="C369" s="22"/>
      <c r="D369" s="22"/>
      <c r="E369" s="22"/>
      <c r="F369" s="22"/>
      <c r="G369" s="22"/>
    </row>
    <row r="370" spans="1:7">
      <c r="A370" s="22"/>
      <c r="B370" s="22"/>
      <c r="C370" s="22"/>
      <c r="D370" s="22"/>
      <c r="E370" s="22"/>
      <c r="F370" s="22"/>
      <c r="G370" s="22"/>
    </row>
    <row r="371" spans="1:7">
      <c r="A371" s="22"/>
      <c r="B371" s="22"/>
      <c r="C371" s="22"/>
      <c r="D371" s="22"/>
      <c r="E371" s="22"/>
      <c r="F371" s="22"/>
      <c r="G371" s="22"/>
    </row>
    <row r="372" spans="1:7">
      <c r="A372" s="22"/>
      <c r="B372" s="22"/>
      <c r="C372" s="22"/>
      <c r="D372" s="22"/>
      <c r="E372" s="22"/>
      <c r="F372" s="22"/>
      <c r="G372" s="22"/>
    </row>
    <row r="373" spans="1:7">
      <c r="A373" s="22"/>
      <c r="B373" s="22"/>
      <c r="C373" s="22"/>
      <c r="D373" s="22"/>
      <c r="E373" s="22"/>
      <c r="F373" s="22"/>
      <c r="G373" s="22"/>
    </row>
    <row r="374" spans="1:7">
      <c r="A374" s="22"/>
      <c r="B374" s="22"/>
      <c r="C374" s="22"/>
      <c r="D374" s="22"/>
      <c r="E374" s="22"/>
      <c r="F374" s="22"/>
      <c r="G374" s="22"/>
    </row>
    <row r="375" spans="1:7">
      <c r="A375" s="22"/>
      <c r="B375" s="22"/>
      <c r="C375" s="22"/>
      <c r="D375" s="22"/>
      <c r="E375" s="22"/>
      <c r="F375" s="22"/>
      <c r="G375" s="22"/>
    </row>
    <row r="376" spans="1:7">
      <c r="A376" s="22"/>
      <c r="B376" s="22"/>
      <c r="C376" s="22"/>
      <c r="D376" s="22"/>
      <c r="E376" s="22"/>
      <c r="F376" s="22"/>
      <c r="G376" s="22"/>
    </row>
    <row r="377" spans="1:7">
      <c r="A377" s="22"/>
      <c r="B377" s="22"/>
      <c r="C377" s="22"/>
      <c r="D377" s="22"/>
      <c r="E377" s="22"/>
      <c r="F377" s="22"/>
      <c r="G377" s="22"/>
    </row>
    <row r="378" spans="1:7">
      <c r="A378" s="22"/>
      <c r="B378" s="22"/>
      <c r="C378" s="22"/>
      <c r="D378" s="22"/>
      <c r="E378" s="22"/>
      <c r="F378" s="22"/>
      <c r="G378" s="22"/>
    </row>
    <row r="379" spans="1:7">
      <c r="A379" s="22"/>
      <c r="B379" s="22"/>
      <c r="C379" s="22"/>
      <c r="D379" s="22"/>
      <c r="E379" s="22"/>
      <c r="F379" s="22"/>
      <c r="G379" s="22"/>
    </row>
    <row r="380" spans="1:7">
      <c r="A380" s="22"/>
      <c r="B380" s="22"/>
      <c r="C380" s="22"/>
      <c r="D380" s="22"/>
      <c r="E380" s="22"/>
      <c r="F380" s="22"/>
      <c r="G380" s="22"/>
    </row>
    <row r="381" spans="1:7">
      <c r="A381" s="22"/>
      <c r="B381" s="22"/>
      <c r="C381" s="22"/>
      <c r="D381" s="22"/>
      <c r="E381" s="22"/>
      <c r="F381" s="22"/>
      <c r="G381" s="22"/>
    </row>
    <row r="382" spans="1:7">
      <c r="A382" s="22"/>
      <c r="B382" s="22"/>
      <c r="C382" s="22"/>
      <c r="D382" s="22"/>
      <c r="E382" s="22"/>
      <c r="F382" s="22"/>
      <c r="G382" s="22"/>
    </row>
    <row r="383" spans="1:7">
      <c r="A383" s="22"/>
      <c r="B383" s="22"/>
      <c r="C383" s="22"/>
      <c r="D383" s="22"/>
      <c r="E383" s="22"/>
      <c r="F383" s="22"/>
      <c r="G383" s="22"/>
    </row>
    <row r="384" spans="1:7">
      <c r="A384" s="22"/>
      <c r="B384" s="22"/>
      <c r="C384" s="22"/>
      <c r="D384" s="22"/>
      <c r="E384" s="22"/>
      <c r="F384" s="22"/>
      <c r="G384" s="22"/>
    </row>
    <row r="385" spans="1:7">
      <c r="A385" s="22"/>
      <c r="B385" s="22"/>
      <c r="C385" s="22"/>
      <c r="D385" s="22"/>
      <c r="E385" s="22"/>
      <c r="F385" s="22"/>
      <c r="G385" s="22"/>
    </row>
    <row r="386" spans="1:7">
      <c r="A386" s="22"/>
      <c r="B386" s="22"/>
      <c r="C386" s="22"/>
      <c r="D386" s="22"/>
      <c r="E386" s="22"/>
      <c r="F386" s="22"/>
      <c r="G386" s="22"/>
    </row>
    <row r="387" spans="1:7">
      <c r="A387" s="22"/>
      <c r="B387" s="22"/>
      <c r="C387" s="22"/>
      <c r="D387" s="22"/>
      <c r="E387" s="22"/>
      <c r="F387" s="22"/>
      <c r="G387" s="22"/>
    </row>
    <row r="388" spans="1:7">
      <c r="A388" s="22"/>
      <c r="B388" s="22"/>
      <c r="C388" s="22"/>
      <c r="D388" s="22"/>
      <c r="E388" s="22"/>
      <c r="F388" s="22"/>
      <c r="G388" s="22"/>
    </row>
    <row r="389" spans="1:7">
      <c r="A389" s="22"/>
      <c r="B389" s="22"/>
      <c r="C389" s="22"/>
      <c r="D389" s="22"/>
      <c r="E389" s="22"/>
      <c r="F389" s="22"/>
      <c r="G389" s="22"/>
    </row>
    <row r="390" spans="1:7">
      <c r="A390" s="22"/>
      <c r="B390" s="22"/>
      <c r="C390" s="22"/>
      <c r="D390" s="22"/>
      <c r="E390" s="22"/>
      <c r="F390" s="22"/>
      <c r="G390" s="22"/>
    </row>
    <row r="391" spans="1:7">
      <c r="A391" s="22"/>
      <c r="B391" s="22"/>
      <c r="C391" s="22"/>
      <c r="D391" s="22"/>
      <c r="E391" s="22"/>
      <c r="F391" s="22"/>
      <c r="G391" s="22"/>
    </row>
    <row r="392" spans="1:7">
      <c r="A392" s="22"/>
      <c r="B392" s="22"/>
      <c r="C392" s="22"/>
      <c r="D392" s="22"/>
      <c r="E392" s="22"/>
      <c r="F392" s="22"/>
      <c r="G392" s="22"/>
    </row>
    <row r="393" spans="1:7">
      <c r="A393" s="22"/>
      <c r="B393" s="22"/>
      <c r="C393" s="22"/>
      <c r="D393" s="22"/>
      <c r="E393" s="22"/>
      <c r="F393" s="22"/>
      <c r="G393" s="22"/>
    </row>
    <row r="394" spans="1:7">
      <c r="A394" s="22"/>
      <c r="B394" s="22"/>
      <c r="C394" s="22"/>
      <c r="D394" s="22"/>
      <c r="E394" s="22"/>
      <c r="F394" s="22"/>
      <c r="G394" s="22"/>
    </row>
    <row r="395" spans="1:7">
      <c r="A395" s="22"/>
      <c r="B395" s="22"/>
      <c r="C395" s="22"/>
      <c r="D395" s="22"/>
      <c r="E395" s="22"/>
      <c r="F395" s="22"/>
      <c r="G395" s="22"/>
    </row>
    <row r="396" spans="1:7">
      <c r="A396" s="22"/>
      <c r="B396" s="22"/>
      <c r="C396" s="22"/>
      <c r="D396" s="22"/>
      <c r="E396" s="22"/>
      <c r="F396" s="22"/>
      <c r="G396" s="22"/>
    </row>
    <row r="397" spans="1:7">
      <c r="A397" s="22"/>
      <c r="B397" s="22"/>
      <c r="C397" s="22"/>
      <c r="D397" s="22"/>
      <c r="E397" s="22"/>
      <c r="F397" s="22"/>
      <c r="G397" s="22"/>
    </row>
    <row r="398" spans="1:7">
      <c r="A398" s="22"/>
      <c r="B398" s="22"/>
      <c r="C398" s="22"/>
      <c r="D398" s="22"/>
      <c r="E398" s="22"/>
      <c r="F398" s="22"/>
      <c r="G398" s="22"/>
    </row>
    <row r="399" spans="1:7">
      <c r="A399" s="22"/>
      <c r="B399" s="22"/>
      <c r="C399" s="22"/>
      <c r="D399" s="22"/>
      <c r="E399" s="22"/>
      <c r="F399" s="22"/>
      <c r="G399" s="22"/>
    </row>
    <row r="400" spans="1:7">
      <c r="A400" s="22"/>
      <c r="B400" s="22"/>
      <c r="C400" s="22"/>
      <c r="D400" s="22"/>
      <c r="E400" s="22"/>
      <c r="F400" s="22"/>
      <c r="G400" s="22"/>
    </row>
    <row r="401" spans="1:7">
      <c r="A401" s="22"/>
      <c r="B401" s="22"/>
      <c r="C401" s="22"/>
      <c r="D401" s="22"/>
      <c r="E401" s="22"/>
      <c r="F401" s="22"/>
      <c r="G401" s="22"/>
    </row>
    <row r="402" spans="1:7">
      <c r="A402" s="22"/>
      <c r="B402" s="22"/>
      <c r="C402" s="22"/>
      <c r="D402" s="22"/>
      <c r="E402" s="22"/>
      <c r="F402" s="22"/>
      <c r="G402" s="22"/>
    </row>
    <row r="403" spans="1:7">
      <c r="A403" s="22"/>
      <c r="B403" s="22"/>
      <c r="C403" s="22"/>
      <c r="D403" s="22"/>
      <c r="E403" s="22"/>
      <c r="F403" s="22"/>
      <c r="G403" s="22"/>
    </row>
    <row r="404" spans="1:7">
      <c r="A404" s="22"/>
      <c r="B404" s="22"/>
      <c r="C404" s="22"/>
      <c r="D404" s="22"/>
      <c r="E404" s="22"/>
      <c r="F404" s="22"/>
      <c r="G404" s="22"/>
    </row>
    <row r="405" spans="1:7">
      <c r="A405" s="22"/>
      <c r="B405" s="22"/>
      <c r="C405" s="22"/>
      <c r="D405" s="22"/>
      <c r="E405" s="22"/>
      <c r="F405" s="22"/>
      <c r="G405" s="22"/>
    </row>
    <row r="406" spans="1:7">
      <c r="A406" s="22"/>
      <c r="B406" s="22"/>
      <c r="C406" s="22"/>
      <c r="D406" s="22"/>
      <c r="E406" s="22"/>
      <c r="F406" s="22"/>
      <c r="G406" s="22"/>
    </row>
    <row r="407" spans="1:7">
      <c r="A407" s="22"/>
      <c r="B407" s="22"/>
      <c r="C407" s="22"/>
      <c r="D407" s="22"/>
      <c r="E407" s="22"/>
      <c r="F407" s="22"/>
      <c r="G407" s="22"/>
    </row>
    <row r="408" spans="1:7">
      <c r="A408" s="22"/>
      <c r="B408" s="22"/>
      <c r="C408" s="22"/>
      <c r="D408" s="22"/>
      <c r="E408" s="22"/>
      <c r="F408" s="22"/>
      <c r="G408" s="22"/>
    </row>
    <row r="409" spans="1:7">
      <c r="A409" s="22"/>
      <c r="B409" s="22"/>
      <c r="C409" s="22"/>
      <c r="D409" s="22"/>
      <c r="E409" s="22"/>
      <c r="F409" s="22"/>
      <c r="G409" s="22"/>
    </row>
    <row r="410" spans="1:7">
      <c r="A410" s="22"/>
      <c r="B410" s="22"/>
      <c r="C410" s="22"/>
      <c r="D410" s="22"/>
      <c r="E410" s="22"/>
      <c r="F410" s="22"/>
      <c r="G410" s="22"/>
    </row>
    <row r="411" spans="1:7">
      <c r="A411" s="22"/>
      <c r="B411" s="22"/>
      <c r="C411" s="22"/>
      <c r="D411" s="22"/>
      <c r="E411" s="22"/>
      <c r="F411" s="22"/>
      <c r="G411" s="22"/>
    </row>
    <row r="412" spans="1:7">
      <c r="A412" s="22"/>
      <c r="B412" s="22"/>
      <c r="C412" s="22"/>
      <c r="D412" s="22"/>
      <c r="E412" s="22"/>
      <c r="F412" s="22"/>
      <c r="G412" s="22"/>
    </row>
  </sheetData>
  <sheetProtection algorithmName="SHA-512" hashValue="1mjevbhtgrv4JQkcP0sO1kMmm8Ko9rAbA1Ydl88t2C5Si5cDtyMqivvwniEF+en9uJSx+IprMHmHaOfMt3ADBA==" saltValue="JQB+l9Rotud+w7zdmrRxBA==" spinCount="100000" sheet="1" objects="1" scenarios="1" selectLockedCells="1"/>
  <mergeCells count="2">
    <mergeCell ref="A43:G43"/>
    <mergeCell ref="A1:G8"/>
  </mergeCells>
  <conditionalFormatting sqref="B30:B31">
    <cfRule type="cellIs" dxfId="11" priority="15" operator="greaterThan">
      <formula>1000000</formula>
    </cfRule>
  </conditionalFormatting>
  <printOptions headings="1" gridLines="1"/>
  <pageMargins left="0.7" right="0.7" top="0.75" bottom="0.75" header="0.3" footer="0.3"/>
  <pageSetup scale="52"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D1DF7-13D2-40D8-8B15-B9F067642ED6}">
  <sheetPr codeName="Sheet18">
    <tabColor rgb="FF002060"/>
    <pageSetUpPr fitToPage="1"/>
  </sheetPr>
  <dimension ref="A1:G32"/>
  <sheetViews>
    <sheetView view="pageLayout" zoomScaleNormal="80" workbookViewId="0">
      <selection sqref="A1:F4"/>
    </sheetView>
  </sheetViews>
  <sheetFormatPr defaultColWidth="40.28515625" defaultRowHeight="13.9"/>
  <cols>
    <col min="1" max="1" width="34.42578125" style="176" customWidth="1"/>
    <col min="2" max="2" width="50.5703125" style="176" customWidth="1"/>
    <col min="3" max="3" width="29.28515625" style="176" customWidth="1"/>
    <col min="4" max="4" width="39" style="176" customWidth="1"/>
    <col min="5" max="5" width="24" style="176" bestFit="1" customWidth="1"/>
    <col min="6" max="6" width="27.140625" style="176" bestFit="1" customWidth="1"/>
    <col min="7" max="7" width="24" style="176" bestFit="1" customWidth="1"/>
    <col min="8" max="16384" width="40.28515625" style="176"/>
  </cols>
  <sheetData>
    <row r="1" spans="1:7" ht="12.75" customHeight="1">
      <c r="A1" s="588" t="s">
        <v>296</v>
      </c>
      <c r="B1" s="589"/>
      <c r="C1" s="589"/>
      <c r="D1" s="589"/>
      <c r="E1" s="589"/>
      <c r="F1" s="589"/>
      <c r="G1" s="590"/>
    </row>
    <row r="2" spans="1:7">
      <c r="A2" s="591"/>
      <c r="B2" s="587"/>
      <c r="C2" s="587"/>
      <c r="D2" s="587"/>
      <c r="E2" s="587"/>
      <c r="F2" s="587"/>
      <c r="G2" s="592"/>
    </row>
    <row r="3" spans="1:7">
      <c r="A3" s="591"/>
      <c r="B3" s="587"/>
      <c r="C3" s="587"/>
      <c r="D3" s="587"/>
      <c r="E3" s="587"/>
      <c r="F3" s="587"/>
      <c r="G3" s="592"/>
    </row>
    <row r="4" spans="1:7">
      <c r="A4" s="591"/>
      <c r="B4" s="587"/>
      <c r="C4" s="587"/>
      <c r="D4" s="587"/>
      <c r="E4" s="587"/>
      <c r="F4" s="587"/>
      <c r="G4" s="592"/>
    </row>
    <row r="5" spans="1:7">
      <c r="A5" s="591"/>
      <c r="B5" s="587"/>
      <c r="C5" s="587"/>
      <c r="D5" s="587"/>
      <c r="E5" s="587"/>
      <c r="F5" s="587"/>
      <c r="G5" s="592"/>
    </row>
    <row r="6" spans="1:7">
      <c r="A6" s="593"/>
      <c r="B6" s="594"/>
      <c r="C6" s="594"/>
      <c r="D6" s="594"/>
      <c r="E6" s="594"/>
      <c r="F6" s="594"/>
      <c r="G6" s="595"/>
    </row>
    <row r="8" spans="1:7">
      <c r="A8" s="263" t="s">
        <v>279</v>
      </c>
      <c r="B8" s="264" t="s">
        <v>280</v>
      </c>
      <c r="C8" s="264" t="s">
        <v>281</v>
      </c>
      <c r="D8" s="264" t="s">
        <v>282</v>
      </c>
      <c r="E8" s="264" t="s">
        <v>267</v>
      </c>
      <c r="F8" s="264" t="s">
        <v>283</v>
      </c>
      <c r="G8" s="265" t="s">
        <v>284</v>
      </c>
    </row>
    <row r="9" spans="1:7">
      <c r="A9" s="178" t="s">
        <v>112</v>
      </c>
      <c r="B9" s="266" t="str">
        <f>'Suggested Equipment'!B13</f>
        <v>Average Aging Room Env. Controls</v>
      </c>
      <c r="C9" s="291">
        <f>'Suggested Equipment'!C13</f>
        <v>1500</v>
      </c>
      <c r="D9" s="292" t="str">
        <f>'Suggested Equipment'!D13</f>
        <v>Not enough data to calculate</v>
      </c>
      <c r="E9" s="261" t="str">
        <f>'Suggested Equipment'!E13</f>
        <v>Not enough data to calculate</v>
      </c>
      <c r="F9" s="293" t="str">
        <f>'Suggested Equipment'!F13</f>
        <v>Not enough data to calculate</v>
      </c>
      <c r="G9" s="267" t="str">
        <f>'Suggested Equipment'!G13</f>
        <v>Not enough data to calculate</v>
      </c>
    </row>
    <row r="10" spans="1:7">
      <c r="A10" s="178" t="s">
        <v>114</v>
      </c>
      <c r="B10" s="266" t="str">
        <f>'Suggested Equipment'!B14</f>
        <v>Average Aging Room Storage</v>
      </c>
      <c r="C10" s="291">
        <f>'Suggested Equipment'!C14</f>
        <v>1769.27</v>
      </c>
      <c r="D10" s="292" t="str">
        <f>'Suggested Equipment'!D14</f>
        <v>Not enough data to calculate</v>
      </c>
      <c r="E10" s="261" t="str">
        <f>'Suggested Equipment'!E14</f>
        <v>Not enough data to calculate</v>
      </c>
      <c r="F10" s="293" t="str">
        <f>'Suggested Equipment'!F14</f>
        <v>Not enough data to calculate</v>
      </c>
      <c r="G10" s="267" t="str">
        <f>'Suggested Equipment'!G14</f>
        <v>Not enough data to calculate</v>
      </c>
    </row>
    <row r="11" spans="1:7">
      <c r="A11" s="178" t="s">
        <v>116</v>
      </c>
      <c r="B11" s="266" t="str">
        <f>'Suggested Equipment'!B15</f>
        <v>Not Applicable</v>
      </c>
      <c r="C11" s="291">
        <f>'Suggested Equipment'!C15</f>
        <v>0</v>
      </c>
      <c r="D11" s="292" t="str">
        <f>'Suggested Equipment'!D15</f>
        <v/>
      </c>
      <c r="E11" s="261" t="str">
        <f>'Suggested Equipment'!E15</f>
        <v/>
      </c>
      <c r="F11" s="293" t="str">
        <f>'Suggested Equipment'!F15</f>
        <v/>
      </c>
      <c r="G11" s="267" t="str">
        <f>'Suggested Equipment'!G15</f>
        <v/>
      </c>
    </row>
    <row r="12" spans="1:7">
      <c r="A12" s="178" t="s">
        <v>118</v>
      </c>
      <c r="B12" s="266" t="str">
        <f>'Suggested Equipment'!B16</f>
        <v>Not Applicable</v>
      </c>
      <c r="C12" s="291">
        <f>'Suggested Equipment'!C16</f>
        <v>0</v>
      </c>
      <c r="D12" s="292" t="str">
        <f>'Suggested Equipment'!D16</f>
        <v/>
      </c>
      <c r="E12" s="261" t="str">
        <f>'Suggested Equipment'!E16</f>
        <v/>
      </c>
      <c r="F12" s="293" t="str">
        <f>'Suggested Equipment'!F16</f>
        <v/>
      </c>
      <c r="G12" s="267" t="str">
        <f>'Suggested Equipment'!G16</f>
        <v/>
      </c>
    </row>
    <row r="13" spans="1:7">
      <c r="A13" s="178" t="s">
        <v>285</v>
      </c>
      <c r="B13" s="266" t="str">
        <f>'Suggested Equipment'!B17</f>
        <v>Not Applicable</v>
      </c>
      <c r="C13" s="291">
        <f>'Suggested Equipment'!C17</f>
        <v>0</v>
      </c>
      <c r="D13" s="292" t="str">
        <f>'Suggested Equipment'!D17</f>
        <v/>
      </c>
      <c r="E13" s="261" t="str">
        <f>'Suggested Equipment'!E17</f>
        <v/>
      </c>
      <c r="F13" s="293" t="str">
        <f>'Suggested Equipment'!F17</f>
        <v/>
      </c>
      <c r="G13" s="267" t="str">
        <f>'Suggested Equipment'!G17</f>
        <v/>
      </c>
    </row>
    <row r="14" spans="1:7">
      <c r="A14" s="178" t="s">
        <v>286</v>
      </c>
      <c r="B14" s="266" t="str">
        <f>'Suggested Equipment'!B18</f>
        <v>Average Curd Distributors</v>
      </c>
      <c r="C14" s="291">
        <f>'Suggested Equipment'!C18</f>
        <v>2132.25</v>
      </c>
      <c r="D14" s="292" t="str">
        <f>'Suggested Equipment'!D18</f>
        <v>Not enough data to calculate</v>
      </c>
      <c r="E14" s="261" t="str">
        <f>'Suggested Equipment'!E18</f>
        <v>Not enough data to calculate</v>
      </c>
      <c r="F14" s="293" t="str">
        <f>'Suggested Equipment'!F18</f>
        <v>Not enough data to calculate</v>
      </c>
      <c r="G14" s="267" t="str">
        <f>'Suggested Equipment'!G18</f>
        <v>Not enough data to calculate</v>
      </c>
    </row>
    <row r="15" spans="1:7">
      <c r="A15" s="178" t="s">
        <v>122</v>
      </c>
      <c r="B15" s="266" t="str">
        <f>'Suggested Equipment'!B19</f>
        <v>Average Drain Table</v>
      </c>
      <c r="C15" s="291">
        <f>'Suggested Equipment'!C19</f>
        <v>19497.66</v>
      </c>
      <c r="D15" s="292" t="str">
        <f>'Suggested Equipment'!D19</f>
        <v>Not enough data to calculate</v>
      </c>
      <c r="E15" s="261" t="str">
        <f>'Suggested Equipment'!E19</f>
        <v>Not enough data to calculate</v>
      </c>
      <c r="F15" s="293" t="str">
        <f>'Suggested Equipment'!F19</f>
        <v>Not enough data to calculate</v>
      </c>
      <c r="G15" s="267" t="str">
        <f>'Suggested Equipment'!G19</f>
        <v>Not enough data to calculate</v>
      </c>
    </row>
    <row r="16" spans="1:7">
      <c r="A16" s="178" t="s">
        <v>124</v>
      </c>
      <c r="B16" s="266" t="str">
        <f>'Suggested Equipment'!B20</f>
        <v>Average Molds</v>
      </c>
      <c r="C16" s="291">
        <f>'Suggested Equipment'!C20</f>
        <v>5118.87</v>
      </c>
      <c r="D16" s="292" t="str">
        <f>'Suggested Equipment'!D20</f>
        <v>Not enough data to calculate</v>
      </c>
      <c r="E16" s="261" t="str">
        <f>'Suggested Equipment'!E20</f>
        <v>Not enough data to calculate</v>
      </c>
      <c r="F16" s="293" t="str">
        <f>'Suggested Equipment'!F20</f>
        <v>Not enough data to calculate</v>
      </c>
      <c r="G16" s="267" t="str">
        <f>'Suggested Equipment'!G20</f>
        <v>Not enough data to calculate</v>
      </c>
    </row>
    <row r="17" spans="1:7">
      <c r="A17" s="178" t="s">
        <v>126</v>
      </c>
      <c r="B17" s="266" t="str">
        <f>'Suggested Equipment'!B21</f>
        <v>Average Cheese Press</v>
      </c>
      <c r="C17" s="291">
        <f>'Suggested Equipment'!C21</f>
        <v>12120.57</v>
      </c>
      <c r="D17" s="292" t="str">
        <f>'Suggested Equipment'!D21</f>
        <v>Not enough data to calculate</v>
      </c>
      <c r="E17" s="261" t="str">
        <f>'Suggested Equipment'!E21</f>
        <v>Not enough data to calculate</v>
      </c>
      <c r="F17" s="293" t="str">
        <f>'Suggested Equipment'!F21</f>
        <v>Not enough data to calculate</v>
      </c>
      <c r="G17" s="267" t="str">
        <f>'Suggested Equipment'!G21</f>
        <v>Not enough data to calculate</v>
      </c>
    </row>
    <row r="18" spans="1:7">
      <c r="A18" s="178" t="s">
        <v>287</v>
      </c>
      <c r="B18" s="266" t="str">
        <f>'Suggested Equipment'!B22</f>
        <v>Average Slicers</v>
      </c>
      <c r="C18" s="291">
        <f>'Suggested Equipment'!C22</f>
        <v>10262.64</v>
      </c>
      <c r="D18" s="292" t="str">
        <f>'Suggested Equipment'!D22</f>
        <v>Not enough data to calculate</v>
      </c>
      <c r="E18" s="261" t="str">
        <f>'Suggested Equipment'!E22</f>
        <v>Not enough data to calculate</v>
      </c>
      <c r="F18" s="293" t="str">
        <f>'Suggested Equipment'!F22</f>
        <v>Not enough data to calculate</v>
      </c>
      <c r="G18" s="267" t="str">
        <f>'Suggested Equipment'!G22</f>
        <v>Not enough data to calculate</v>
      </c>
    </row>
    <row r="19" spans="1:7">
      <c r="A19" s="178" t="s">
        <v>130</v>
      </c>
      <c r="B19" s="266" t="str">
        <f>'Suggested Equipment'!B23</f>
        <v>Not Applicable</v>
      </c>
      <c r="C19" s="291">
        <f>'Suggested Equipment'!C23</f>
        <v>0</v>
      </c>
      <c r="D19" s="292" t="str">
        <f>'Suggested Equipment'!D23</f>
        <v/>
      </c>
      <c r="E19" s="261" t="str">
        <f>'Suggested Equipment'!E23</f>
        <v/>
      </c>
      <c r="F19" s="293" t="str">
        <f>'Suggested Equipment'!F23</f>
        <v/>
      </c>
      <c r="G19" s="267" t="str">
        <f>'Suggested Equipment'!G23</f>
        <v/>
      </c>
    </row>
    <row r="20" spans="1:7">
      <c r="A20" s="178" t="s">
        <v>131</v>
      </c>
      <c r="B20" s="266" t="str">
        <f>'Suggested Equipment'!B24</f>
        <v>Not Applicable</v>
      </c>
      <c r="C20" s="291">
        <f>'Suggested Equipment'!C24</f>
        <v>0</v>
      </c>
      <c r="D20" s="292" t="str">
        <f>'Suggested Equipment'!D24</f>
        <v/>
      </c>
      <c r="E20" s="261" t="str">
        <f>'Suggested Equipment'!E24</f>
        <v/>
      </c>
      <c r="F20" s="293" t="str">
        <f>'Suggested Equipment'!F24</f>
        <v/>
      </c>
      <c r="G20" s="267" t="str">
        <f>'Suggested Equipment'!G24</f>
        <v/>
      </c>
    </row>
    <row r="21" spans="1:7">
      <c r="A21" s="178" t="s">
        <v>132</v>
      </c>
      <c r="B21" s="266" t="str">
        <f>'Suggested Equipment'!B25</f>
        <v>Average Open Cheese Vat</v>
      </c>
      <c r="C21" s="291">
        <f>'Suggested Equipment'!C25</f>
        <v>40299.25</v>
      </c>
      <c r="D21" s="292" t="str">
        <f>'Suggested Equipment'!D25</f>
        <v>Not enough data to calculate</v>
      </c>
      <c r="E21" s="261" t="str">
        <f>'Suggested Equipment'!E25</f>
        <v>Not enough data to calculate</v>
      </c>
      <c r="F21" s="293" t="str">
        <f>'Suggested Equipment'!F25</f>
        <v>Not enough data to calculate</v>
      </c>
      <c r="G21" s="267" t="str">
        <f>'Suggested Equipment'!G25</f>
        <v>Not enough data to calculate</v>
      </c>
    </row>
    <row r="22" spans="1:7">
      <c r="A22" s="178" t="s">
        <v>288</v>
      </c>
      <c r="B22" s="266" t="str">
        <f>'Suggested Equipment'!B26</f>
        <v>Average Batch Pasteurizer Vat Combo</v>
      </c>
      <c r="C22" s="291">
        <f>'Suggested Equipment'!C26</f>
        <v>31911.07</v>
      </c>
      <c r="D22" s="292" t="str">
        <f>'Suggested Equipment'!D26</f>
        <v>Not enough data to calculate</v>
      </c>
      <c r="E22" s="261" t="str">
        <f>'Suggested Equipment'!E26</f>
        <v>Not enough data to calculate</v>
      </c>
      <c r="F22" s="293" t="str">
        <f>'Suggested Equipment'!F26</f>
        <v>Not enough data to calculate</v>
      </c>
      <c r="G22" s="267" t="str">
        <f>'Suggested Equipment'!G26</f>
        <v>Not enough data to calculate</v>
      </c>
    </row>
    <row r="23" spans="1:7">
      <c r="A23" s="178" t="s">
        <v>145</v>
      </c>
      <c r="B23" s="266" t="str">
        <f>'Suggested Equipment'!B27</f>
        <v>Not Applicable</v>
      </c>
      <c r="C23" s="291">
        <f>'Suggested Equipment'!C27</f>
        <v>0</v>
      </c>
      <c r="D23" s="292" t="str">
        <f>'Suggested Equipment'!D27</f>
        <v/>
      </c>
      <c r="E23" s="261" t="str">
        <f>'Suggested Equipment'!E27</f>
        <v/>
      </c>
      <c r="F23" s="293" t="str">
        <f>'Suggested Equipment'!F27</f>
        <v/>
      </c>
      <c r="G23" s="267" t="str">
        <f>'Suggested Equipment'!G27</f>
        <v/>
      </c>
    </row>
    <row r="24" spans="1:7">
      <c r="A24" s="178" t="s">
        <v>137</v>
      </c>
      <c r="B24" s="266" t="str">
        <f>'Suggested Equipment'!B28</f>
        <v>Not Applicable</v>
      </c>
      <c r="C24" s="291">
        <f>'Suggested Equipment'!C28</f>
        <v>0</v>
      </c>
      <c r="D24" s="292" t="str">
        <f>'Suggested Equipment'!D28</f>
        <v/>
      </c>
      <c r="E24" s="261" t="str">
        <f>'Suggested Equipment'!E28</f>
        <v/>
      </c>
      <c r="F24" s="293" t="str">
        <f>'Suggested Equipment'!F28</f>
        <v/>
      </c>
      <c r="G24" s="267" t="str">
        <f>'Suggested Equipment'!G28</f>
        <v/>
      </c>
    </row>
    <row r="25" spans="1:7">
      <c r="A25" s="268" t="s">
        <v>138</v>
      </c>
      <c r="B25" s="266" t="str">
        <f>'Suggested Equipment'!B29</f>
        <v>Not Applicable</v>
      </c>
      <c r="C25" s="294">
        <f>'Suggested Equipment'!C29</f>
        <v>0</v>
      </c>
      <c r="D25" s="269" t="str">
        <f>'Suggested Equipment'!D29</f>
        <v/>
      </c>
      <c r="E25" s="262" t="str">
        <f>'Suggested Equipment'!E29</f>
        <v/>
      </c>
      <c r="F25" s="270" t="str">
        <f>'Suggested Equipment'!F29</f>
        <v/>
      </c>
      <c r="G25" s="271" t="str">
        <f>'Suggested Equipment'!G29</f>
        <v/>
      </c>
    </row>
    <row r="26" spans="1:7">
      <c r="A26" s="289" t="s">
        <v>289</v>
      </c>
      <c r="B26" s="290">
        <f>'Suggested Equipment'!B30</f>
        <v>124611.57999999999</v>
      </c>
      <c r="C26" s="274" t="s">
        <v>290</v>
      </c>
      <c r="D26" s="275">
        <f>'Suggested Equipment'!D30</f>
        <v>4.2047044654479118</v>
      </c>
    </row>
    <row r="27" spans="1:7">
      <c r="A27" s="272" t="s">
        <v>291</v>
      </c>
      <c r="B27" s="273">
        <f>'Suggested Equipment'!B31</f>
        <v>772432.46000000008</v>
      </c>
      <c r="C27" s="274" t="s">
        <v>292</v>
      </c>
      <c r="D27" s="276">
        <f>'Suggested Equipment'!D31</f>
        <v>2479531.9086413058</v>
      </c>
    </row>
    <row r="28" spans="1:7">
      <c r="A28" s="272" t="s">
        <v>293</v>
      </c>
      <c r="B28" s="273">
        <f>'Suggested Equipment'!B32</f>
        <v>1047044.04</v>
      </c>
      <c r="C28" s="274" t="s">
        <v>294</v>
      </c>
      <c r="D28" s="277">
        <f>'Suggested Equipment'!D32</f>
        <v>0.35320590543266772</v>
      </c>
    </row>
    <row r="29" spans="1:7">
      <c r="A29" s="272" t="s">
        <v>295</v>
      </c>
      <c r="B29" s="278">
        <f>'Suggested Equipment'!B33</f>
        <v>0</v>
      </c>
      <c r="C29" s="274"/>
    </row>
    <row r="31" spans="1:7">
      <c r="A31" s="176" t="s">
        <v>297</v>
      </c>
    </row>
    <row r="32" spans="1:7">
      <c r="A32" s="176" t="s">
        <v>298</v>
      </c>
    </row>
  </sheetData>
  <mergeCells count="1">
    <mergeCell ref="A1:G6"/>
  </mergeCells>
  <conditionalFormatting sqref="B26:B27">
    <cfRule type="cellIs" dxfId="10" priority="1" operator="greaterThan">
      <formula>1000000</formula>
    </cfRule>
  </conditionalFormatting>
  <pageMargins left="0.7" right="0.7" top="0.75" bottom="0.75" header="0.3" footer="0.3"/>
  <pageSetup scale="53" fitToHeight="0" orientation="landscape" r:id="rId1"/>
  <headerFooter>
    <oddHeader xml:space="preserve">&amp;L&amp;G&amp;CValue-Added Dairy Processing 
Decision Making Tool:  Cheese&amp;R&amp;G
</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AA0A18-D8C3-4438-A2BF-058612ECC096}">
  <sheetPr codeName="Sheet14">
    <tabColor theme="9"/>
  </sheetPr>
  <dimension ref="A1:Y663"/>
  <sheetViews>
    <sheetView topLeftCell="A129" zoomScale="60" zoomScaleNormal="60" workbookViewId="0">
      <selection sqref="A1:F4"/>
    </sheetView>
  </sheetViews>
  <sheetFormatPr defaultColWidth="9.140625" defaultRowHeight="14.45"/>
  <cols>
    <col min="1" max="1" width="74.7109375" bestFit="1" customWidth="1"/>
    <col min="2" max="2" width="53.7109375" bestFit="1" customWidth="1"/>
    <col min="3" max="3" width="37" customWidth="1"/>
    <col min="4" max="4" width="37" style="497" customWidth="1"/>
    <col min="5" max="5" width="37.28515625" style="6" bestFit="1" customWidth="1"/>
    <col min="6" max="6" width="33.28515625" style="12" bestFit="1" customWidth="1"/>
    <col min="8" max="12" width="9.140625" style="22"/>
    <col min="13" max="13" width="12" style="22" customWidth="1"/>
    <col min="14" max="23" width="9.140625" style="22"/>
  </cols>
  <sheetData>
    <row r="1" spans="1:7" ht="14.45" customHeight="1">
      <c r="A1" s="573" t="s">
        <v>299</v>
      </c>
      <c r="B1" s="573"/>
      <c r="C1" s="573"/>
      <c r="D1" s="573"/>
      <c r="E1" s="573"/>
      <c r="F1" s="573"/>
      <c r="G1" s="471"/>
    </row>
    <row r="2" spans="1:7" ht="14.45" customHeight="1">
      <c r="A2" s="573"/>
      <c r="B2" s="573"/>
      <c r="C2" s="573"/>
      <c r="D2" s="573"/>
      <c r="E2" s="573"/>
      <c r="F2" s="573"/>
      <c r="G2" s="471"/>
    </row>
    <row r="3" spans="1:7" ht="14.45" customHeight="1">
      <c r="A3" s="573"/>
      <c r="B3" s="573"/>
      <c r="C3" s="573"/>
      <c r="D3" s="573"/>
      <c r="E3" s="573"/>
      <c r="F3" s="573"/>
      <c r="G3" s="471"/>
    </row>
    <row r="4" spans="1:7" ht="14.45" customHeight="1">
      <c r="A4" s="573"/>
      <c r="B4" s="573"/>
      <c r="C4" s="573"/>
      <c r="D4" s="573"/>
      <c r="E4" s="573"/>
      <c r="F4" s="573"/>
      <c r="G4" s="471"/>
    </row>
    <row r="5" spans="1:7" s="22" customFormat="1" ht="23.45">
      <c r="A5" s="83"/>
      <c r="B5" s="472"/>
      <c r="C5" s="472"/>
      <c r="D5" s="473"/>
      <c r="E5" s="474"/>
      <c r="F5" s="475"/>
      <c r="G5" s="476"/>
    </row>
    <row r="6" spans="1:7" ht="18">
      <c r="A6" s="516" t="s">
        <v>112</v>
      </c>
      <c r="B6" s="596"/>
      <c r="C6" s="596"/>
      <c r="D6" s="596"/>
      <c r="E6" s="596"/>
      <c r="F6" s="517"/>
      <c r="G6" s="22"/>
    </row>
    <row r="7" spans="1:7" ht="18">
      <c r="A7" s="379"/>
      <c r="B7" s="477" t="s">
        <v>300</v>
      </c>
      <c r="C7" s="477" t="s">
        <v>281</v>
      </c>
      <c r="D7" s="478" t="s">
        <v>267</v>
      </c>
      <c r="E7" s="479" t="s">
        <v>301</v>
      </c>
      <c r="F7" s="480" t="s">
        <v>302</v>
      </c>
      <c r="G7" s="22"/>
    </row>
    <row r="8" spans="1:7" ht="18">
      <c r="A8" s="331" t="str">
        <f>Equipment!A154</f>
        <v>Quoted Aging Room Env. Controls</v>
      </c>
      <c r="B8" s="481" t="str">
        <f>IF(INDEX(Equipment!$A$154:$L$155,MATCH(A8,Equipment!$A$154:$A$155,0),11)=0,Equipment!$T$14,INDEX(Equipment!$A$154:$L$155,MATCH(A8,Equipment!$A$154:$A$155,0),11))</f>
        <v>Not enough data to calculate</v>
      </c>
      <c r="C8" s="136">
        <f>IF(NOT(ISNUMBER(INDEX(Equipment!$A$154:$L$155,MATCH($A8,Equipment!$A$154:$A$155,0),5))),Equipment!$T$14,INDEX(Equipment!$A$154:$L$155,MATCH($A8,Equipment!$A$154:$A$155,0),5))</f>
        <v>0</v>
      </c>
      <c r="D8" s="137" t="str">
        <f>IF(INDEX(Equipment!$A$154:$L$155,MATCH($A8,Equipment!$A$154:$A$155,0),6)=0,Equipment!$T$14,INDEX(Equipment!$A$154:$L$155,MATCH($A8,Equipment!$A$154:$A$155,0),6))</f>
        <v>Not enough data to calculate</v>
      </c>
      <c r="E8" s="143" t="str">
        <f>IF(INDEX(Equipment!$A$154:$L$155,MATCH($A8,Equipment!$A$154:$A$155,0),9)=0,Equipment!$T$14,INDEX(Equipment!$A$154:$L$155,MATCH($A8,Equipment!$A$154:$A$155,0),9))</f>
        <v>Not enough data to calculate</v>
      </c>
      <c r="F8" s="145" t="str">
        <f>IF(INDEX(Equipment!$A$154:$L$155,MATCH($A8,Equipment!$A$154:$A$155,0),10)=0,Equipment!$T$14,INDEX(Equipment!$A$154:$L$155,MATCH($A8,Equipment!$A$154:$A$155,0),10))</f>
        <v>Not enough data to calculate</v>
      </c>
      <c r="G8" s="22"/>
    </row>
    <row r="9" spans="1:7" ht="18">
      <c r="A9" s="343" t="str">
        <f>Equipment!A155</f>
        <v>Average Aging Room Env. Controls</v>
      </c>
      <c r="B9" s="482" t="str">
        <f>IF(INDEX(Equipment!$A$154:$L$155,MATCH(A9,Equipment!$A$154:$A$155,0),11)=0,Equipment!$T$14,INDEX(Equipment!$A$154:$L$155,MATCH(A9,Equipment!$A$154:$A$155,0),11))</f>
        <v>Not enough data to calculate</v>
      </c>
      <c r="C9" s="139">
        <f>IF(NOT(ISNUMBER(INDEX(Equipment!$A$154:$L$155,MATCH($A9,Equipment!$A$154:$A$155,0),5))),Equipment!$T$14,INDEX(Equipment!$A$154:$L$155,MATCH($A9,Equipment!$A$154:$A$155,0),5))</f>
        <v>1500</v>
      </c>
      <c r="D9" s="140" t="str">
        <f>IF(INDEX(Equipment!$A$154:$L$155,MATCH($A9,Equipment!$A$154:$A$155,0),6)=0,Equipment!$T$14,INDEX(Equipment!$A$154:$L$155,MATCH($A9,Equipment!$A$154:$A$155,0),6))</f>
        <v>Not enough data to calculate</v>
      </c>
      <c r="E9" s="144" t="str">
        <f>IF(INDEX(Equipment!$A$154:$L$155,MATCH($A9,Equipment!$A$154:$A$155,0),9)=0,Equipment!$T$14,INDEX(Equipment!$A$154:$L$155,MATCH($A9,Equipment!$A$154:$A$155,0),9))</f>
        <v>Not enough data to calculate</v>
      </c>
      <c r="F9" s="146" t="str">
        <f>IF(INDEX(Equipment!$A$154:$L$155,MATCH($A9,Equipment!$A$154:$A$155,0),10)=0,Equipment!$T$14,INDEX(Equipment!$A$154:$L$155,MATCH($A9,Equipment!$A$154:$A$155,0),10))</f>
        <v>Not enough data to calculate</v>
      </c>
      <c r="G9" s="22"/>
    </row>
    <row r="10" spans="1:7" ht="18.75" customHeight="1">
      <c r="A10" s="483"/>
      <c r="B10" s="483"/>
      <c r="C10" s="483"/>
      <c r="D10" s="483"/>
      <c r="E10" s="483"/>
      <c r="F10" s="483"/>
      <c r="G10" s="395"/>
    </row>
    <row r="11" spans="1:7" ht="18.75" customHeight="1">
      <c r="A11" s="484"/>
      <c r="B11" s="484"/>
      <c r="C11" s="484"/>
      <c r="D11" s="484"/>
      <c r="E11" s="484"/>
      <c r="F11" s="484"/>
      <c r="G11" s="395"/>
    </row>
    <row r="12" spans="1:7" ht="18">
      <c r="A12" s="516" t="s">
        <v>114</v>
      </c>
      <c r="B12" s="596"/>
      <c r="C12" s="596"/>
      <c r="D12" s="596"/>
      <c r="E12" s="596"/>
      <c r="F12" s="517"/>
      <c r="G12" s="22"/>
    </row>
    <row r="13" spans="1:7" ht="18">
      <c r="A13" s="379"/>
      <c r="B13" s="477" t="s">
        <v>300</v>
      </c>
      <c r="C13" s="477" t="s">
        <v>281</v>
      </c>
      <c r="D13" s="478" t="s">
        <v>267</v>
      </c>
      <c r="E13" s="479" t="s">
        <v>301</v>
      </c>
      <c r="F13" s="480" t="s">
        <v>302</v>
      </c>
      <c r="G13" s="22"/>
    </row>
    <row r="14" spans="1:7" ht="18">
      <c r="A14" s="331" t="str">
        <f>Equipment!A159</f>
        <v>Quoted Aging Room Storage</v>
      </c>
      <c r="B14" s="481" t="str">
        <f>IF(INDEX(Equipment!$A$159:$L$160,MATCH(A14,Equipment!$A$159:$A$160,0),11)=0,Equipment!$T$14,INDEX(Equipment!$A$159:$L$160,MATCH(A14,Equipment!$A$159:$A$160,0),11))</f>
        <v>Not enough data to calculate</v>
      </c>
      <c r="C14" s="136">
        <f>IF(NOT(ISNUMBER(INDEX(Equipment!$A$159:$L$160,MATCH($A14,Equipment!$A$159:$A$160,0),5))),Equipment!$T$14,INDEX(Equipment!$A$159:$L$160,MATCH($A14,Equipment!$A$159:$A$160,0),5))</f>
        <v>0</v>
      </c>
      <c r="D14" s="137" t="str">
        <f>IF(INDEX(Equipment!$A$159:$L$160,MATCH($A14,Equipment!$A$159:$A$160,0),6)=0,Equipment!$T$14,INDEX(Equipment!$A$159:$L$160,MATCH($A14,Equipment!$A$159:$A$160,0),6))</f>
        <v>Not enough data to calculate</v>
      </c>
      <c r="E14" s="143" t="str">
        <f>IF(INDEX(Equipment!$A$159:$L$160,MATCH($A14,Equipment!$A$159:$A$160,0),9)=0,Equipment!$T$14,INDEX(Equipment!$A$159:$L$160,MATCH($A14,Equipment!$A$159:$A$160,0),9))</f>
        <v>Not enough data to calculate</v>
      </c>
      <c r="F14" s="145" t="str">
        <f>IF(INDEX(Equipment!$A$159:$L$160,MATCH($A14,Equipment!$A$159:$A$160,0),10)=0,Equipment!$T$14,INDEX(Equipment!$A$159:$L$160,MATCH($A14,Equipment!$A$159:$A$160,0),10))</f>
        <v>Not enough data to calculate</v>
      </c>
      <c r="G14" s="22"/>
    </row>
    <row r="15" spans="1:7" ht="18">
      <c r="A15" s="343" t="str">
        <f>Equipment!A160</f>
        <v>Average Aging Room Storage</v>
      </c>
      <c r="B15" s="482" t="str">
        <f>IF(INDEX(Equipment!$A$159:$L$160,MATCH(A15,Equipment!$A$159:$A$160,0),11)=0,Equipment!$T$14,INDEX(Equipment!$A$159:$L$160,MATCH(A15,Equipment!$A$159:$A$160,0),11))</f>
        <v>Not enough data to calculate</v>
      </c>
      <c r="C15" s="139">
        <f>IF(NOT(ISNUMBER(INDEX(Equipment!$A$159:$L$160,MATCH($A15,Equipment!$A$159:$A$160,0),5))),Equipment!$T$14,INDEX(Equipment!$A$159:$L$160,MATCH($A15,Equipment!$A$159:$A$160,0),5))</f>
        <v>1769.27</v>
      </c>
      <c r="D15" s="140" t="str">
        <f>IF(INDEX(Equipment!$A$159:$L$160,MATCH($A15,Equipment!$A$159:$A$160,0),6)=0,Equipment!$T$14,INDEX(Equipment!$A$159:$L$160,MATCH($A15,Equipment!$A$159:$A$160,0),6))</f>
        <v>Not enough data to calculate</v>
      </c>
      <c r="E15" s="144" t="str">
        <f>IF(INDEX(Equipment!$A$159:$L$160,MATCH($A15,Equipment!$A$159:$A$160,0),9)=0,Equipment!$T$14,INDEX(Equipment!$A$159:$L$160,MATCH($A15,Equipment!$A$159:$A$160,0),9))</f>
        <v>Not enough data to calculate</v>
      </c>
      <c r="F15" s="146" t="str">
        <f>IF(INDEX(Equipment!$A$159:$L$160,MATCH($A15,Equipment!$A$159:$A$160,0),10)=0,Equipment!$T$14,INDEX(Equipment!$A$159:$L$160,MATCH($A15,Equipment!$A$159:$A$160,0),10))</f>
        <v>Not enough data to calculate</v>
      </c>
      <c r="G15" s="22"/>
    </row>
    <row r="16" spans="1:7" ht="18">
      <c r="A16" s="325"/>
      <c r="B16" s="481"/>
      <c r="C16" s="136"/>
      <c r="D16" s="137"/>
      <c r="E16" s="138"/>
      <c r="F16" s="141"/>
      <c r="G16" s="22"/>
    </row>
    <row r="17" spans="1:7" ht="18">
      <c r="A17" s="325"/>
      <c r="B17" s="481"/>
      <c r="C17" s="136"/>
      <c r="D17" s="137"/>
      <c r="E17" s="138"/>
      <c r="F17" s="141"/>
      <c r="G17" s="22"/>
    </row>
    <row r="18" spans="1:7" ht="18">
      <c r="A18" s="516" t="s">
        <v>116</v>
      </c>
      <c r="B18" s="596"/>
      <c r="C18" s="596"/>
      <c r="D18" s="596"/>
      <c r="E18" s="596"/>
      <c r="F18" s="517"/>
      <c r="G18" s="22"/>
    </row>
    <row r="19" spans="1:7" ht="18">
      <c r="A19" s="379"/>
      <c r="B19" s="477" t="s">
        <v>300</v>
      </c>
      <c r="C19" s="477" t="s">
        <v>281</v>
      </c>
      <c r="D19" s="478" t="s">
        <v>267</v>
      </c>
      <c r="E19" s="479" t="s">
        <v>301</v>
      </c>
      <c r="F19" s="480" t="s">
        <v>302</v>
      </c>
      <c r="G19" s="22"/>
    </row>
    <row r="20" spans="1:7" ht="18">
      <c r="A20" s="331" t="str">
        <f>Equipment!A109</f>
        <v>Quoted Brine Tank</v>
      </c>
      <c r="B20" s="481" t="str">
        <f>IF(INDEX(Equipment!$A$109:$L$110,MATCH(A20,Equipment!$A$109:$A$110,0),11)=0,Equipment!$T$14,INDEX(Equipment!$A$109:$L$110,MATCH(A20,Equipment!$A$109:$A$110,0),11))</f>
        <v>Not enough data to calculate</v>
      </c>
      <c r="C20" s="136">
        <f>IF(NOT(ISNUMBER(INDEX(Equipment!$A$109:$L$110,MATCH($A20,Equipment!$A$109:$A$110,0),5))),Equipment!$T$14,INDEX(Equipment!$A$109:$L$110,MATCH($A20,Equipment!$A$109:$A$110,0),5))</f>
        <v>0</v>
      </c>
      <c r="D20" s="137" t="str">
        <f>IF(INDEX(Equipment!$A$109:$L$110,MATCH($A20,Equipment!$A$109:$A$110,0),6)=0,Equipment!$T$14,INDEX(Equipment!$A$109:$L$110,MATCH($A20,Equipment!$A$109:$A$110,0),6))</f>
        <v>Not enough data to calculate</v>
      </c>
      <c r="E20" s="143" t="str">
        <f>IF(INDEX(Equipment!$A$109:$L$110,MATCH($A20,Equipment!$A$109:$A$110,0),9)=0,Equipment!$T$14,INDEX(Equipment!$A$109:$L$110,MATCH($A20,Equipment!$A$109:$A$110,0),9))</f>
        <v>Not enough data to calculate</v>
      </c>
      <c r="F20" s="145" t="str">
        <f>IF(INDEX(Equipment!$A$109:$L$110,MATCH($A20,Equipment!$A$109:$A$110,0),10)=0,Equipment!$T$14,INDEX(Equipment!$A$109:$L$110,MATCH($A20,Equipment!$A$109:$A$110,0),10))</f>
        <v>Not enough data to calculate</v>
      </c>
      <c r="G20" s="22"/>
    </row>
    <row r="21" spans="1:7" ht="18">
      <c r="A21" s="343" t="str">
        <f>Equipment!A110</f>
        <v>Average Brine Tank</v>
      </c>
      <c r="B21" s="482" t="str">
        <f>IF(INDEX(Equipment!$A$109:$L$110,MATCH(A21,Equipment!$A$109:$A$110,0),11)=0,Equipment!$T$14,INDEX(Equipment!$A$109:$L$110,MATCH(A21,Equipment!$A$109:$A$110,0),11))</f>
        <v>Not enough data to calculate</v>
      </c>
      <c r="C21" s="139">
        <f>IF(NOT(ISNUMBER(INDEX(Equipment!$A$109:$L$110,MATCH($A21,Equipment!$A$109:$A$110,0),5))),Equipment!$T$14,INDEX(Equipment!$A$109:$L$110,MATCH($A21,Equipment!$A$109:$A$110,0),5))</f>
        <v>24750</v>
      </c>
      <c r="D21" s="140" t="str">
        <f>IF(INDEX(Equipment!$A$109:$L$110,MATCH($A21,Equipment!$A$109:$A$110,0),6)=0,Equipment!$T$14,INDEX(Equipment!$A$109:$L$110,MATCH($A21,Equipment!$A$109:$A$110,0),6))</f>
        <v>Not enough data to calculate</v>
      </c>
      <c r="E21" s="144" t="str">
        <f>IF(INDEX(Equipment!$A$109:$L$110,MATCH($A21,Equipment!$A$109:$A$110,0),9)=0,Equipment!$T$14,INDEX(Equipment!$A$109:$L$110,MATCH($A21,Equipment!$A$109:$A$110,0),9))</f>
        <v>Not enough data to calculate</v>
      </c>
      <c r="F21" s="146" t="str">
        <f>IF(INDEX(Equipment!$A$109:$L$110,MATCH($A21,Equipment!$A$109:$A$110,0),10)=0,Equipment!$T$14,INDEX(Equipment!$A$109:$L$110,MATCH($A21,Equipment!$A$109:$A$110,0),10))</f>
        <v>Not enough data to calculate</v>
      </c>
      <c r="G21" s="22"/>
    </row>
    <row r="22" spans="1:7" ht="18">
      <c r="A22" s="325"/>
      <c r="B22" s="481"/>
      <c r="C22" s="136"/>
      <c r="D22" s="137"/>
      <c r="E22" s="138"/>
      <c r="F22" s="141"/>
      <c r="G22" s="22"/>
    </row>
    <row r="23" spans="1:7" ht="18">
      <c r="A23" s="325"/>
      <c r="B23" s="481"/>
      <c r="C23" s="136"/>
      <c r="D23" s="137"/>
      <c r="E23" s="138"/>
      <c r="F23" s="141"/>
      <c r="G23" s="22"/>
    </row>
    <row r="24" spans="1:7" ht="18">
      <c r="A24" s="516" t="s">
        <v>118</v>
      </c>
      <c r="B24" s="596"/>
      <c r="C24" s="596"/>
      <c r="D24" s="596"/>
      <c r="E24" s="596"/>
      <c r="F24" s="517"/>
      <c r="G24" s="22"/>
    </row>
    <row r="25" spans="1:7" ht="18">
      <c r="A25" s="379"/>
      <c r="B25" s="477" t="s">
        <v>300</v>
      </c>
      <c r="C25" s="477" t="s">
        <v>281</v>
      </c>
      <c r="D25" s="478" t="s">
        <v>267</v>
      </c>
      <c r="E25" s="479" t="s">
        <v>301</v>
      </c>
      <c r="F25" s="480" t="s">
        <v>302</v>
      </c>
      <c r="G25" s="22"/>
    </row>
    <row r="26" spans="1:7" ht="18">
      <c r="A26" s="331" t="str">
        <f>Equipment!A114</f>
        <v>Quoted Brushing Machine</v>
      </c>
      <c r="B26" s="481" t="str">
        <f>IF(INDEX(Equipment!$A$114:$L$115,MATCH(A26,Equipment!$A$114:$A$115,0),11)=0,Equipment!$T$14,INDEX(Equipment!$A$114:$L$115,MATCH(A26,Equipment!$A$114:$A$115,0),11))</f>
        <v>Not enough data to calculate</v>
      </c>
      <c r="C26" s="136">
        <f>IF(NOT(ISNUMBER(INDEX(Equipment!$A$114:$L$115,MATCH($A26,Equipment!$A$114:$A$115,0),5))),Equipment!$T$14,INDEX(Equipment!$A$114:$L$115,MATCH($A26,Equipment!$A$114:$A$115,0),5))</f>
        <v>0</v>
      </c>
      <c r="D26" s="137" t="str">
        <f>IF(INDEX(Equipment!$A$114:$L$115,MATCH($A26,Equipment!$A$114:$A$115,0),6)=0,Equipment!$T$14,INDEX(Equipment!$A$114:$L$115,MATCH($A26,Equipment!$A$114:$A$115,0),6))</f>
        <v>Not enough data to calculate</v>
      </c>
      <c r="E26" s="143" t="str">
        <f>IF(INDEX(Equipment!$A$114:$L$115,MATCH($A26,Equipment!$A$114:$A$115,0),9)=0,Equipment!$T$14,INDEX(Equipment!$A$114:$L$115,MATCH($A26,Equipment!$A$114:$A$115,0),9))</f>
        <v>Not enough data to calculate</v>
      </c>
      <c r="F26" s="145" t="str">
        <f>IF(INDEX(Equipment!$A$114:$L$115,MATCH($A26,Equipment!$A$114:$A$115,0),10)=0,Equipment!$T$14,INDEX(Equipment!$A$114:$L$115,MATCH($A26,Equipment!$A$114:$A$115,0),10))</f>
        <v>Not enough data to calculate</v>
      </c>
      <c r="G26" s="22"/>
    </row>
    <row r="27" spans="1:7" ht="18">
      <c r="A27" s="343" t="str">
        <f>Equipment!A115</f>
        <v>Average Brushing Machine</v>
      </c>
      <c r="B27" s="482" t="str">
        <f>IF(INDEX(Equipment!$A$114:$L$115,MATCH(A27,Equipment!$A$114:$A$115,0),11)=0,Equipment!$T$14,INDEX(Equipment!$A$114:$L$115,MATCH(A27,Equipment!$A$114:$A$115,0),11))</f>
        <v>Not enough data to calculate</v>
      </c>
      <c r="C27" s="139">
        <f>IF(NOT(ISNUMBER(INDEX(Equipment!$A$114:$L$115,MATCH($A27,Equipment!$A$114:$A$115,0),5))),Equipment!$T$14,INDEX(Equipment!$A$114:$L$115,MATCH($A27,Equipment!$A$114:$A$115,0),5))</f>
        <v>62200</v>
      </c>
      <c r="D27" s="140" t="str">
        <f>IF(INDEX(Equipment!$A$114:$L$115,MATCH($A27,Equipment!$A$114:$A$115,0),6)=0,Equipment!$T$14,INDEX(Equipment!$A$114:$L$115,MATCH($A27,Equipment!$A$114:$A$115,0),6))</f>
        <v>Not enough data to calculate</v>
      </c>
      <c r="E27" s="144" t="str">
        <f>IF(INDEX(Equipment!$A$114:$L$115,MATCH($A27,Equipment!$A$114:$A$115,0),9)=0,Equipment!$T$14,INDEX(Equipment!$A$114:$L$115,MATCH($A27,Equipment!$A$114:$A$115,0),9))</f>
        <v>Not enough data to calculate</v>
      </c>
      <c r="F27" s="146" t="str">
        <f>IF(INDEX(Equipment!$A$114:$L$115,MATCH($A27,Equipment!$A$114:$A$115,0),10)=0,Equipment!$T$14,INDEX(Equipment!$A$114:$L$115,MATCH($A27,Equipment!$A$114:$A$115,0),10))</f>
        <v>Not enough data to calculate</v>
      </c>
      <c r="G27" s="22"/>
    </row>
    <row r="28" spans="1:7" ht="18">
      <c r="A28" s="325"/>
      <c r="B28" s="481"/>
      <c r="C28" s="136"/>
      <c r="D28" s="137"/>
      <c r="E28" s="138"/>
      <c r="F28" s="141"/>
      <c r="G28" s="22"/>
    </row>
    <row r="29" spans="1:7" ht="18">
      <c r="A29" s="325"/>
      <c r="B29" s="481"/>
      <c r="C29" s="136"/>
      <c r="D29" s="137"/>
      <c r="E29" s="138"/>
      <c r="F29" s="141"/>
      <c r="G29" s="22"/>
    </row>
    <row r="30" spans="1:7" ht="18">
      <c r="A30" s="516" t="s">
        <v>285</v>
      </c>
      <c r="B30" s="596"/>
      <c r="C30" s="596"/>
      <c r="D30" s="596"/>
      <c r="E30" s="596"/>
      <c r="F30" s="517"/>
      <c r="G30" s="22"/>
    </row>
    <row r="31" spans="1:7" ht="18">
      <c r="A31" s="379"/>
      <c r="B31" s="477" t="s">
        <v>300</v>
      </c>
      <c r="C31" s="477" t="s">
        <v>281</v>
      </c>
      <c r="D31" s="478" t="s">
        <v>267</v>
      </c>
      <c r="E31" s="479" t="s">
        <v>301</v>
      </c>
      <c r="F31" s="480" t="s">
        <v>302</v>
      </c>
      <c r="G31" s="22"/>
    </row>
    <row r="32" spans="1:7" ht="18">
      <c r="A32" s="331" t="str">
        <f>Equipment!A119</f>
        <v>Quoted Cheese Piercer</v>
      </c>
      <c r="B32" s="481" t="str">
        <f>IF(INDEX(Equipment!$A$119:$L$120,MATCH(A32,Equipment!$A$119:$A$120,0),11)=0,Equipment!$T$14,INDEX(Equipment!$A$119:$L$120,MATCH(A32,Equipment!$A$119:$A$120,0),11))</f>
        <v>Not enough data to calculate</v>
      </c>
      <c r="C32" s="136">
        <f>IF(NOT(ISNUMBER(INDEX(Equipment!$A$119:$L$120,MATCH($A32,Equipment!$A$119:$A$120,0),5))),Equipment!$T$14,INDEX(Equipment!$A$119:$L$120,MATCH($A32,Equipment!$A$119:$A$120,0),5))</f>
        <v>0</v>
      </c>
      <c r="D32" s="137" t="str">
        <f>IF(INDEX(Equipment!$A$119:$L$120,MATCH($A32,Equipment!$A$119:$A$120,0),6)=0,Equipment!$T$14,INDEX(Equipment!$A$119:$L$120,MATCH($A32,Equipment!$A$119:$A$120,0),6))</f>
        <v>Not enough data to calculate</v>
      </c>
      <c r="E32" s="143" t="str">
        <f>IF(INDEX(Equipment!$A$119:$L$120,MATCH($A32,Equipment!$A$119:$A$120,0),9)=0,Equipment!$T$14,INDEX(Equipment!$A$119:$L$120,MATCH($A32,Equipment!$A$119:$A$120,0),9))</f>
        <v>Not enough data to calculate</v>
      </c>
      <c r="F32" s="145" t="str">
        <f>IF(INDEX(Equipment!$A$119:$L$120,MATCH($A32,Equipment!$A$119:$A$120,0),10)=0,Equipment!$T$14,INDEX(Equipment!$A$119:$L$120,MATCH($A32,Equipment!$A$119:$A$120,0),10))</f>
        <v>Not enough data to calculate</v>
      </c>
      <c r="G32" s="22"/>
    </row>
    <row r="33" spans="1:7" ht="18">
      <c r="A33" s="343" t="str">
        <f>Equipment!A120</f>
        <v>Average Cheese Piercer</v>
      </c>
      <c r="B33" s="482" t="str">
        <f>IF(INDEX(Equipment!$A$119:$L$120,MATCH(A33,Equipment!$A$119:$A$120,0),11)=0,Equipment!$T$14,INDEX(Equipment!$A$119:$L$120,MATCH(A33,Equipment!$A$119:$A$120,0),11))</f>
        <v>Not enough data to calculate</v>
      </c>
      <c r="C33" s="139">
        <f>IF(NOT(ISNUMBER(INDEX(Equipment!$A$119:$L$120,MATCH($A33,Equipment!$A$119:$A$120,0),5))),Equipment!$T$14,INDEX(Equipment!$A$119:$L$120,MATCH($A33,Equipment!$A$119:$A$120,0),5))</f>
        <v>14190</v>
      </c>
      <c r="D33" s="140" t="str">
        <f>IF(INDEX(Equipment!$A$119:$L$120,MATCH($A33,Equipment!$A$119:$A$120,0),6)=0,Equipment!$T$14,INDEX(Equipment!$A$119:$L$120,MATCH($A33,Equipment!$A$119:$A$120,0),6))</f>
        <v>Not enough data to calculate</v>
      </c>
      <c r="E33" s="144" t="str">
        <f>IF(INDEX(Equipment!$A$119:$L$120,MATCH($A33,Equipment!$A$119:$A$120,0),9)=0,Equipment!$T$14,INDEX(Equipment!$A$119:$L$120,MATCH($A33,Equipment!$A$119:$A$120,0),9))</f>
        <v>Not enough data to calculate</v>
      </c>
      <c r="F33" s="146" t="str">
        <f>IF(INDEX(Equipment!$A$119:$L$120,MATCH($A33,Equipment!$A$119:$A$120,0),10)=0,Equipment!$T$14,INDEX(Equipment!$A$119:$L$120,MATCH($A33,Equipment!$A$119:$A$120,0),10))</f>
        <v>Not enough data to calculate</v>
      </c>
      <c r="G33" s="22"/>
    </row>
    <row r="34" spans="1:7" ht="18">
      <c r="A34" s="325"/>
      <c r="B34" s="481"/>
      <c r="C34" s="136"/>
      <c r="D34" s="137"/>
      <c r="E34" s="138"/>
      <c r="F34" s="141"/>
      <c r="G34" s="22"/>
    </row>
    <row r="35" spans="1:7" ht="18">
      <c r="A35" s="325"/>
      <c r="B35" s="481"/>
      <c r="C35" s="136"/>
      <c r="D35" s="137"/>
      <c r="E35" s="138"/>
      <c r="F35" s="141"/>
      <c r="G35" s="22"/>
    </row>
    <row r="36" spans="1:7" ht="18">
      <c r="A36" s="516" t="s">
        <v>286</v>
      </c>
      <c r="B36" s="596"/>
      <c r="C36" s="596"/>
      <c r="D36" s="596"/>
      <c r="E36" s="596"/>
      <c r="F36" s="517"/>
      <c r="G36" s="22"/>
    </row>
    <row r="37" spans="1:7" ht="18">
      <c r="A37" s="379"/>
      <c r="B37" s="477" t="s">
        <v>300</v>
      </c>
      <c r="C37" s="477" t="s">
        <v>281</v>
      </c>
      <c r="D37" s="478" t="s">
        <v>267</v>
      </c>
      <c r="E37" s="479" t="s">
        <v>301</v>
      </c>
      <c r="F37" s="480" t="s">
        <v>302</v>
      </c>
      <c r="G37" s="22"/>
    </row>
    <row r="38" spans="1:7" ht="18">
      <c r="A38" s="331" t="str">
        <f>Equipment!A124</f>
        <v>Quoted Curd Distributors</v>
      </c>
      <c r="B38" s="481" t="str">
        <f>IF(INDEX(Equipment!$A$124:$L$125,MATCH(A38,Equipment!$A$124:$A$125,0),11)=0,Equipment!$T$14,INDEX(Equipment!$A$124:$L$125,MATCH(A38,Equipment!$A$124:$A$125,0),11))</f>
        <v>Not enough data to calculate</v>
      </c>
      <c r="C38" s="136">
        <f>IF(NOT(ISNUMBER(INDEX(Equipment!$A$124:$L$125,MATCH($A38,Equipment!$A$124:$A$125,0),5))),Equipment!$T$14,INDEX(Equipment!$A$124:$L$125,MATCH($A38,Equipment!$A$124:$A$125,0),5))</f>
        <v>0</v>
      </c>
      <c r="D38" s="137" t="str">
        <f>IF(INDEX(Equipment!$A$124:$L$125,MATCH($A38,Equipment!$A$124:$A$125,0),6)=0,Equipment!$T$14,INDEX(Equipment!$A$124:$L$125,MATCH($A38,Equipment!$A$124:$A$125,0),6))</f>
        <v>Not enough data to calculate</v>
      </c>
      <c r="E38" s="143" t="str">
        <f>IF(INDEX(Equipment!$A$124:$L$125,MATCH($A38,Equipment!$A$124:$A$125,0),9)=0,Equipment!$T$14,INDEX(Equipment!$A$124:$L$125,MATCH($A38,Equipment!$A$124:$A$125,0),9))</f>
        <v>Not enough data to calculate</v>
      </c>
      <c r="F38" s="145" t="str">
        <f>IF(INDEX(Equipment!$A$124:$L$125,MATCH($A38,Equipment!$A$124:$A$125,0),10)=0,Equipment!$T$14,INDEX(Equipment!$A$124:$L$125,MATCH($A38,Equipment!$A$124:$A$125,0),10))</f>
        <v>Not enough data to calculate</v>
      </c>
      <c r="G38" s="22"/>
    </row>
    <row r="39" spans="1:7" ht="18">
      <c r="A39" s="343" t="str">
        <f>Equipment!A125</f>
        <v>Average Curd Distributors</v>
      </c>
      <c r="B39" s="482" t="str">
        <f>IF(INDEX(Equipment!$A$124:$L$125,MATCH(A39,Equipment!$A$124:$A$125,0),11)=0,Equipment!$T$14,INDEX(Equipment!$A$124:$L$125,MATCH(A39,Equipment!$A$124:$A$125,0),11))</f>
        <v>Not enough data to calculate</v>
      </c>
      <c r="C39" s="139">
        <f>IF(NOT(ISNUMBER(INDEX(Equipment!$A$124:$L$125,MATCH($A39,Equipment!$A$124:$A$125,0),5))),Equipment!$T$14,INDEX(Equipment!$A$124:$L$125,MATCH($A39,Equipment!$A$124:$A$125,0),5))</f>
        <v>2132.25</v>
      </c>
      <c r="D39" s="140" t="str">
        <f>IF(INDEX(Equipment!$A$124:$L$125,MATCH($A39,Equipment!$A$124:$A$125,0),6)=0,Equipment!$T$14,INDEX(Equipment!$A$124:$L$125,MATCH($A39,Equipment!$A$124:$A$125,0),6))</f>
        <v>Not enough data to calculate</v>
      </c>
      <c r="E39" s="144" t="str">
        <f>IF(INDEX(Equipment!$A$124:$L$125,MATCH($A39,Equipment!$A$124:$A$125,0),9)=0,Equipment!$T$14,INDEX(Equipment!$A$124:$L$125,MATCH($A39,Equipment!$A$124:$A$125,0),9))</f>
        <v>Not enough data to calculate</v>
      </c>
      <c r="F39" s="146" t="str">
        <f>IF(INDEX(Equipment!$A$124:$L$125,MATCH($A39,Equipment!$A$124:$A$125,0),10)=0,Equipment!$T$14,INDEX(Equipment!$A$124:$L$125,MATCH($A39,Equipment!$A$124:$A$125,0),10))</f>
        <v>Not enough data to calculate</v>
      </c>
      <c r="G39" s="22"/>
    </row>
    <row r="40" spans="1:7" ht="18">
      <c r="A40" s="325"/>
      <c r="B40" s="481"/>
      <c r="C40" s="136"/>
      <c r="D40" s="137"/>
      <c r="E40" s="138"/>
      <c r="F40" s="141"/>
      <c r="G40" s="22"/>
    </row>
    <row r="41" spans="1:7" ht="18">
      <c r="A41" s="325"/>
      <c r="B41" s="481"/>
      <c r="C41" s="136"/>
      <c r="D41" s="137"/>
      <c r="E41" s="138"/>
      <c r="F41" s="141"/>
      <c r="G41" s="22"/>
    </row>
    <row r="42" spans="1:7" ht="18">
      <c r="A42" s="516" t="s">
        <v>122</v>
      </c>
      <c r="B42" s="596"/>
      <c r="C42" s="596"/>
      <c r="D42" s="596"/>
      <c r="E42" s="596"/>
      <c r="F42" s="517"/>
      <c r="G42" s="22"/>
    </row>
    <row r="43" spans="1:7" ht="18">
      <c r="A43" s="379"/>
      <c r="B43" s="477" t="s">
        <v>300</v>
      </c>
      <c r="C43" s="477" t="s">
        <v>281</v>
      </c>
      <c r="D43" s="478" t="s">
        <v>267</v>
      </c>
      <c r="E43" s="479" t="s">
        <v>301</v>
      </c>
      <c r="F43" s="480" t="s">
        <v>302</v>
      </c>
      <c r="G43" s="22"/>
    </row>
    <row r="44" spans="1:7" ht="18">
      <c r="A44" s="331" t="str">
        <f>Equipment!A129</f>
        <v>Quoted Drain Table</v>
      </c>
      <c r="B44" s="481" t="str">
        <f>IF(INDEX(Equipment!$A$129:$L$130,MATCH(A44,Equipment!$A$129:$A$130,0),11)=0,Equipment!$T$14,INDEX(Equipment!$A$129:$L$130,MATCH(A44,Equipment!$A$129:$A$130,0),11))</f>
        <v>Not enough data to calculate</v>
      </c>
      <c r="C44" s="136">
        <f>IF(NOT(ISNUMBER(INDEX(Equipment!$A$129:$L$130,MATCH($A44,Equipment!$A$129:$A$130,0),5))),Equipment!$T$14,INDEX(Equipment!$A$129:$L$130,MATCH($A44,Equipment!$A$129:$A$130,0),5))</f>
        <v>0</v>
      </c>
      <c r="D44" s="137" t="str">
        <f>IF(INDEX(Equipment!$A$129:$L$130,MATCH($A44,Equipment!$A$129:$A$130,0),6)=0,Equipment!$T$14,INDEX(Equipment!$A$129:$L$130,MATCH($A44,Equipment!$A$129:$A$130,0),6))</f>
        <v>Not enough data to calculate</v>
      </c>
      <c r="E44" s="143" t="str">
        <f>IF(INDEX(Equipment!$A$129:$L$130,MATCH($A44,Equipment!$A$129:$A$130,0),9)=0,Equipment!$T$14,INDEX(Equipment!$A$129:$L$130,MATCH($A44,Equipment!$A$129:$A$130,0),9))</f>
        <v>Not enough data to calculate</v>
      </c>
      <c r="F44" s="145" t="str">
        <f>IF(INDEX(Equipment!$A$129:$L$130,MATCH($A44,Equipment!$A$129:$A$130,0),10)=0,Equipment!$T$14,INDEX(Equipment!$A$129:$L$130,MATCH($A44,Equipment!$A$129:$A$130,0),10))</f>
        <v>Not enough data to calculate</v>
      </c>
      <c r="G44" s="22"/>
    </row>
    <row r="45" spans="1:7" ht="18">
      <c r="A45" s="343" t="str">
        <f>Equipment!A130</f>
        <v>Average Drain Table</v>
      </c>
      <c r="B45" s="482" t="str">
        <f>IF(INDEX(Equipment!$A$129:$L$130,MATCH(A45,Equipment!$A$129:$A$130,0),11)=0,Equipment!$T$14,INDEX(Equipment!$A$129:$L$130,MATCH(A45,Equipment!$A$129:$A$130,0),11))</f>
        <v>Not enough data to calculate</v>
      </c>
      <c r="C45" s="139">
        <f>IF(NOT(ISNUMBER(INDEX(Equipment!$A$129:$L$130,MATCH($A45,Equipment!$A$129:$A$130,0),5))),Equipment!$T$14,INDEX(Equipment!$A$129:$L$130,MATCH($A45,Equipment!$A$129:$A$130,0),5))</f>
        <v>19497.66</v>
      </c>
      <c r="D45" s="140" t="str">
        <f>IF(INDEX(Equipment!$A$129:$L$130,MATCH($A45,Equipment!$A$129:$A$130,0),6)=0,Equipment!$T$14,INDEX(Equipment!$A$129:$L$130,MATCH($A45,Equipment!$A$129:$A$130,0),6))</f>
        <v>Not enough data to calculate</v>
      </c>
      <c r="E45" s="144" t="str">
        <f>IF(INDEX(Equipment!$A$129:$L$130,MATCH($A45,Equipment!$A$129:$A$130,0),9)=0,Equipment!$T$14,INDEX(Equipment!$A$129:$L$130,MATCH($A45,Equipment!$A$129:$A$130,0),9))</f>
        <v>Not enough data to calculate</v>
      </c>
      <c r="F45" s="146" t="str">
        <f>IF(INDEX(Equipment!$A$129:$L$130,MATCH($A45,Equipment!$A$129:$A$130,0),10)=0,Equipment!$T$14,INDEX(Equipment!$A$129:$L$130,MATCH($A45,Equipment!$A$129:$A$130,0),10))</f>
        <v>Not enough data to calculate</v>
      </c>
      <c r="G45" s="22"/>
    </row>
    <row r="46" spans="1:7" ht="18">
      <c r="A46" s="325"/>
      <c r="B46" s="481"/>
      <c r="C46" s="136"/>
      <c r="D46" s="137"/>
      <c r="E46" s="138"/>
      <c r="F46" s="141"/>
      <c r="G46" s="22"/>
    </row>
    <row r="47" spans="1:7" ht="18">
      <c r="A47" s="325"/>
      <c r="B47" s="481"/>
      <c r="C47" s="136"/>
      <c r="D47" s="137"/>
      <c r="E47" s="138"/>
      <c r="F47" s="141"/>
      <c r="G47" s="22"/>
    </row>
    <row r="48" spans="1:7" ht="18">
      <c r="A48" s="516" t="s">
        <v>124</v>
      </c>
      <c r="B48" s="596"/>
      <c r="C48" s="596"/>
      <c r="D48" s="596"/>
      <c r="E48" s="596"/>
      <c r="F48" s="517"/>
      <c r="G48" s="22"/>
    </row>
    <row r="49" spans="1:7" ht="18">
      <c r="A49" s="379"/>
      <c r="B49" s="477" t="s">
        <v>300</v>
      </c>
      <c r="C49" s="477" t="s">
        <v>281</v>
      </c>
      <c r="D49" s="478" t="s">
        <v>267</v>
      </c>
      <c r="E49" s="479" t="s">
        <v>301</v>
      </c>
      <c r="F49" s="480" t="s">
        <v>302</v>
      </c>
      <c r="G49" s="22"/>
    </row>
    <row r="50" spans="1:7" ht="18">
      <c r="A50" s="331" t="str">
        <f>Equipment!A134</f>
        <v>Quoted Molds</v>
      </c>
      <c r="B50" s="481" t="str">
        <f>IF(INDEX(Equipment!$A$134:$L$135,MATCH(A50,Equipment!$A$134:$A$135,0),11)=0,Equipment!$T$14,INDEX(Equipment!$A$134:$L$135,MATCH(A50,Equipment!$A$134:$A$135,0),11))</f>
        <v>Not enough data to calculate</v>
      </c>
      <c r="C50" s="136">
        <f>IF(NOT(ISNUMBER(INDEX(Equipment!$A$134:$L$135,MATCH($A50,Equipment!$A$134:$A$135,0),5))),Equipment!$T$14,INDEX(Equipment!$A$134:$L$135,MATCH($A50,Equipment!$A$134:$A$135,0),5))</f>
        <v>0</v>
      </c>
      <c r="D50" s="137" t="str">
        <f>IF(INDEX(Equipment!$A$134:$L$135,MATCH($A50,Equipment!$A$134:$A$135,0),6)=0,Equipment!$T$14,INDEX(Equipment!$A$134:$L$135,MATCH($A50,Equipment!$A$134:$A$135,0),6))</f>
        <v>Not enough data to calculate</v>
      </c>
      <c r="E50" s="143" t="str">
        <f>IF(INDEX(Equipment!$A$134:$L$135,MATCH($A50,Equipment!$A$134:$A$135,0),9)=0,Equipment!$T$14,INDEX(Equipment!$A$134:$L$135,MATCH($A50,Equipment!$A$134:$A$135,0),9))</f>
        <v>Not enough data to calculate</v>
      </c>
      <c r="F50" s="145" t="str">
        <f>IF(INDEX(Equipment!$A$134:$L$135,MATCH($A50,Equipment!$A$134:$A$135,0),10)=0,Equipment!$T$14,INDEX(Equipment!$A$134:$L$135,MATCH($A50,Equipment!$A$134:$A$135,0),10))</f>
        <v>Not enough data to calculate</v>
      </c>
      <c r="G50" s="22"/>
    </row>
    <row r="51" spans="1:7" ht="18">
      <c r="A51" s="343" t="str">
        <f>Equipment!A135</f>
        <v>Average Molds</v>
      </c>
      <c r="B51" s="482" t="str">
        <f>IF(INDEX(Equipment!$A$134:$L$135,MATCH(A51,Equipment!$A$134:$A$135,0),11)=0,Equipment!$T$14,INDEX(Equipment!$A$134:$L$135,MATCH(A51,Equipment!$A$134:$A$135,0),11))</f>
        <v>Not enough data to calculate</v>
      </c>
      <c r="C51" s="139">
        <f>IF(NOT(ISNUMBER(INDEX(Equipment!$A$134:$L$135,MATCH($A51,Equipment!$A$134:$A$135,0),5))),Equipment!$T$14,INDEX(Equipment!$A$134:$L$135,MATCH($A51,Equipment!$A$134:$A$135,0),5))</f>
        <v>5118.87</v>
      </c>
      <c r="D51" s="140" t="str">
        <f>IF(INDEX(Equipment!$A$134:$L$135,MATCH($A51,Equipment!$A$134:$A$135,0),6)=0,Equipment!$T$14,INDEX(Equipment!$A$134:$L$135,MATCH($A51,Equipment!$A$134:$A$135,0),6))</f>
        <v>Not enough data to calculate</v>
      </c>
      <c r="E51" s="144" t="str">
        <f>IF(INDEX(Equipment!$A$134:$L$135,MATCH($A51,Equipment!$A$134:$A$135,0),9)=0,Equipment!$T$14,INDEX(Equipment!$A$134:$L$135,MATCH($A51,Equipment!$A$134:$A$135,0),9))</f>
        <v>Not enough data to calculate</v>
      </c>
      <c r="F51" s="146" t="str">
        <f>IF(INDEX(Equipment!$A$134:$L$135,MATCH($A51,Equipment!$A$134:$A$135,0),10)=0,Equipment!$T$14,INDEX(Equipment!$A$134:$L$135,MATCH($A51,Equipment!$A$134:$A$135,0),10))</f>
        <v>Not enough data to calculate</v>
      </c>
      <c r="G51" s="22"/>
    </row>
    <row r="52" spans="1:7" ht="18">
      <c r="A52" s="325"/>
      <c r="B52" s="481"/>
      <c r="C52" s="136"/>
      <c r="D52" s="137"/>
      <c r="E52" s="138"/>
      <c r="F52" s="141"/>
      <c r="G52" s="22"/>
    </row>
    <row r="53" spans="1:7" ht="18">
      <c r="A53" s="325"/>
      <c r="B53" s="481"/>
      <c r="C53" s="136"/>
      <c r="D53" s="137"/>
      <c r="E53" s="138"/>
      <c r="F53" s="141"/>
      <c r="G53" s="22"/>
    </row>
    <row r="54" spans="1:7" ht="18">
      <c r="A54" s="597" t="s">
        <v>303</v>
      </c>
      <c r="B54" s="598"/>
      <c r="C54" s="598"/>
      <c r="D54" s="598"/>
      <c r="E54" s="598"/>
      <c r="F54" s="599"/>
      <c r="G54" s="22"/>
    </row>
    <row r="55" spans="1:7" ht="18">
      <c r="A55" s="379"/>
      <c r="B55" s="477" t="s">
        <v>300</v>
      </c>
      <c r="C55" s="477" t="s">
        <v>281</v>
      </c>
      <c r="D55" s="478" t="s">
        <v>267</v>
      </c>
      <c r="E55" s="479" t="s">
        <v>301</v>
      </c>
      <c r="F55" s="480" t="s">
        <v>302</v>
      </c>
      <c r="G55" s="22"/>
    </row>
    <row r="56" spans="1:7" ht="18">
      <c r="A56" s="331" t="str">
        <f>Equipment!A90</f>
        <v>ANCO Single Head Vertical A-Frame Cheese Press</v>
      </c>
      <c r="B56" s="481" t="str">
        <f>IF(INDEX(Equipment!$A$90:$L$100,MATCH(A56,Equipment!$A$90:$A$100,0),11)=0,Equipment!$T$14,INDEX(Equipment!$A$90:$L$100,MATCH(A56,Equipment!$A$90:$A$100,0),11))</f>
        <v>Not enough data to calculate</v>
      </c>
      <c r="C56" s="136">
        <f>IF(NOT(ISNUMBER(INDEX(Equipment!$A$90:$L$100,MATCH($A56,Equipment!$A$90:$A$100,0),5))),Equipment!$T$14,INDEX(Equipment!$A$90:$L$100,MATCH($A56,Equipment!$A$90:$A$100,0),5))</f>
        <v>3500</v>
      </c>
      <c r="D56" s="137" t="str">
        <f>IF(INDEX(Equipment!$A$90:$L$100,MATCH($A56,Equipment!$A$90:$A$100,0),6)=0,Equipment!$T$14,INDEX(Equipment!$A$90:$L$100,MATCH($A56,Equipment!$A$90:$A$100,0),6))</f>
        <v>Not enough data to calculate</v>
      </c>
      <c r="E56" s="143" t="str">
        <f>IF(INDEX(Equipment!$A$90:$L$100,MATCH($A56,Equipment!$A$90:$A$100,0),9)=0,Equipment!$T$14,INDEX(Equipment!$A$90:$L$100,MATCH($A56,Equipment!$A$90:$A$100,0),9))</f>
        <v>Not enough data to calculate</v>
      </c>
      <c r="F56" s="145" t="str">
        <f>IF(INDEX(Equipment!$A$90:$L$100,MATCH($A56,Equipment!$A$90:$A$100,0),10)=0,Equipment!$T$14,INDEX(Equipment!$A$90:$L$100,MATCH($A56,Equipment!$A$90:$A$100,0),10))</f>
        <v>Not enough data to calculate</v>
      </c>
      <c r="G56" s="22"/>
    </row>
    <row r="57" spans="1:7" ht="18">
      <c r="A57" s="331" t="str">
        <f>Equipment!A91</f>
        <v>ANCO 2-Head Vertical A-Frame Cheese Press</v>
      </c>
      <c r="B57" s="481" t="str">
        <f>IF(INDEX(Equipment!$A$90:$L$100,MATCH(A57,Equipment!$A$90:$A$100,0),11)=0,Equipment!$T$14,INDEX(Equipment!$A$90:$L$100,MATCH(A57,Equipment!$A$90:$A$100,0),11))</f>
        <v>Not enough data to calculate</v>
      </c>
      <c r="C57" s="136">
        <f>IF(NOT(ISNUMBER(INDEX(Equipment!$A$90:$L$100,MATCH($A57,Equipment!$A$90:$A$100,0),5))),Equipment!$T$14,INDEX(Equipment!$A$90:$L$100,MATCH($A57,Equipment!$A$90:$A$100,0),5))</f>
        <v>5000</v>
      </c>
      <c r="D57" s="137" t="str">
        <f>IF(INDEX(Equipment!$A$90:$L$100,MATCH($A57,Equipment!$A$90:$A$100,0),6)=0,Equipment!$T$14,INDEX(Equipment!$A$90:$L$100,MATCH($A57,Equipment!$A$90:$A$100,0),6))</f>
        <v>Not enough data to calculate</v>
      </c>
      <c r="E57" s="143" t="str">
        <f>IF(INDEX(Equipment!$A$90:$L$100,MATCH($A57,Equipment!$A$90:$A$100,0),9)=0,Equipment!$T$14,INDEX(Equipment!$A$90:$L$100,MATCH($A57,Equipment!$A$90:$A$100,0),9))</f>
        <v>Not enough data to calculate</v>
      </c>
      <c r="F57" s="145" t="str">
        <f>IF(INDEX(Equipment!$A$90:$L$100,MATCH($A57,Equipment!$A$90:$A$100,0),10)=0,Equipment!$T$14,INDEX(Equipment!$A$90:$L$100,MATCH($A57,Equipment!$A$90:$A$100,0),10))</f>
        <v>Not enough data to calculate</v>
      </c>
      <c r="G57" s="22"/>
    </row>
    <row r="58" spans="1:7" ht="18">
      <c r="A58" s="331" t="str">
        <f>Equipment!A92</f>
        <v>ANCO 4-Head Vertical A-Frame Cheese Press</v>
      </c>
      <c r="B58" s="481" t="str">
        <f>IF(INDEX(Equipment!$A$90:$L$100,MATCH(A58,Equipment!$A$90:$A$100,0),11)=0,Equipment!$T$14,INDEX(Equipment!$A$90:$L$100,MATCH(A58,Equipment!$A$90:$A$100,0),11))</f>
        <v>Not enough data to calculate</v>
      </c>
      <c r="C58" s="136">
        <f>IF(NOT(ISNUMBER(INDEX(Equipment!$A$90:$L$100,MATCH($A58,Equipment!$A$90:$A$100,0),5))),Equipment!$T$14,INDEX(Equipment!$A$90:$L$100,MATCH($A58,Equipment!$A$90:$A$100,0),5))</f>
        <v>9000</v>
      </c>
      <c r="D58" s="137" t="str">
        <f>IF(INDEX(Equipment!$A$90:$L$100,MATCH($A58,Equipment!$A$90:$A$100,0),6)=0,Equipment!$T$14,INDEX(Equipment!$A$90:$L$100,MATCH($A58,Equipment!$A$90:$A$100,0),6))</f>
        <v>Not enough data to calculate</v>
      </c>
      <c r="E58" s="143" t="str">
        <f>IF(INDEX(Equipment!$A$90:$L$100,MATCH($A58,Equipment!$A$90:$A$100,0),9)=0,Equipment!$T$14,INDEX(Equipment!$A$90:$L$100,MATCH($A58,Equipment!$A$90:$A$100,0),9))</f>
        <v>Not enough data to calculate</v>
      </c>
      <c r="F58" s="145" t="str">
        <f>IF(INDEX(Equipment!$A$90:$L$100,MATCH($A58,Equipment!$A$90:$A$100,0),10)=0,Equipment!$T$14,INDEX(Equipment!$A$90:$L$100,MATCH($A58,Equipment!$A$90:$A$100,0),10))</f>
        <v>Not enough data to calculate</v>
      </c>
      <c r="G58" s="22"/>
    </row>
    <row r="59" spans="1:7" ht="18">
      <c r="A59" s="331" t="str">
        <f>Equipment!A93</f>
        <v>ANCO 6-Head Vertical A-Frame Cheese Press</v>
      </c>
      <c r="B59" s="481" t="str">
        <f>IF(INDEX(Equipment!$A$90:$L$100,MATCH(A59,Equipment!$A$90:$A$100,0),11)=0,Equipment!$T$14,INDEX(Equipment!$A$90:$L$100,MATCH(A59,Equipment!$A$90:$A$100,0),11))</f>
        <v>Not enough data to calculate</v>
      </c>
      <c r="C59" s="136">
        <f>IF(NOT(ISNUMBER(INDEX(Equipment!$A$90:$L$100,MATCH($A59,Equipment!$A$90:$A$100,0),5))),Equipment!$T$14,INDEX(Equipment!$A$90:$L$100,MATCH($A59,Equipment!$A$90:$A$100,0),5))</f>
        <v>12500</v>
      </c>
      <c r="D59" s="137" t="str">
        <f>IF(INDEX(Equipment!$A$90:$L$100,MATCH($A59,Equipment!$A$90:$A$100,0),6)=0,Equipment!$T$14,INDEX(Equipment!$A$90:$L$100,MATCH($A59,Equipment!$A$90:$A$100,0),6))</f>
        <v>Not enough data to calculate</v>
      </c>
      <c r="E59" s="143" t="str">
        <f>IF(INDEX(Equipment!$A$90:$L$100,MATCH($A59,Equipment!$A$90:$A$100,0),9)=0,Equipment!$T$14,INDEX(Equipment!$A$90:$L$100,MATCH($A59,Equipment!$A$90:$A$100,0),9))</f>
        <v>Not enough data to calculate</v>
      </c>
      <c r="F59" s="145" t="str">
        <f>IF(INDEX(Equipment!$A$90:$L$100,MATCH($A59,Equipment!$A$90:$A$100,0),10)=0,Equipment!$T$14,INDEX(Equipment!$A$90:$L$100,MATCH($A59,Equipment!$A$90:$A$100,0),10))</f>
        <v>Not enough data to calculate</v>
      </c>
      <c r="G59" s="22"/>
    </row>
    <row r="60" spans="1:7" ht="18">
      <c r="A60" s="331" t="str">
        <f>Equipment!A94</f>
        <v>ANCO 8-Head Vertical A-Frame Cheese Press</v>
      </c>
      <c r="B60" s="481" t="str">
        <f>IF(INDEX(Equipment!$A$90:$L$100,MATCH(A60,Equipment!$A$90:$A$100,0),11)=0,Equipment!$T$14,INDEX(Equipment!$A$90:$L$100,MATCH(A60,Equipment!$A$90:$A$100,0),11))</f>
        <v>Not enough data to calculate</v>
      </c>
      <c r="C60" s="136">
        <f>IF(NOT(ISNUMBER(INDEX(Equipment!$A$90:$L$100,MATCH($A60,Equipment!$A$90:$A$100,0),5))),Equipment!$T$14,INDEX(Equipment!$A$90:$L$100,MATCH($A60,Equipment!$A$90:$A$100,0),5))</f>
        <v>15000</v>
      </c>
      <c r="D60" s="137" t="str">
        <f>IF(INDEX(Equipment!$A$90:$L$100,MATCH($A60,Equipment!$A$90:$A$100,0),6)=0,Equipment!$T$14,INDEX(Equipment!$A$90:$L$100,MATCH($A60,Equipment!$A$90:$A$100,0),6))</f>
        <v>Not enough data to calculate</v>
      </c>
      <c r="E60" s="143" t="str">
        <f>IF(INDEX(Equipment!$A$90:$L$100,MATCH($A60,Equipment!$A$90:$A$100,0),9)=0,Equipment!$T$14,INDEX(Equipment!$A$90:$L$100,MATCH($A60,Equipment!$A$90:$A$100,0),9))</f>
        <v>Not enough data to calculate</v>
      </c>
      <c r="F60" s="145" t="str">
        <f>IF(INDEX(Equipment!$A$90:$L$100,MATCH($A60,Equipment!$A$90:$A$100,0),10)=0,Equipment!$T$14,INDEX(Equipment!$A$90:$L$100,MATCH($A60,Equipment!$A$90:$A$100,0),10))</f>
        <v>Not enough data to calculate</v>
      </c>
      <c r="G60" s="22"/>
    </row>
    <row r="61" spans="1:7" ht="18">
      <c r="A61" s="331" t="str">
        <f>Equipment!A95</f>
        <v>ANCO 10-Head Vertical A-Frame Cheese Press</v>
      </c>
      <c r="B61" s="481" t="str">
        <f>IF(INDEX(Equipment!$A$90:$L$100,MATCH(A61,Equipment!$A$90:$A$100,0),11)=0,Equipment!$T$14,INDEX(Equipment!$A$90:$L$100,MATCH(A61,Equipment!$A$90:$A$100,0),11))</f>
        <v>Not enough data to calculate</v>
      </c>
      <c r="C61" s="136">
        <f>IF(NOT(ISNUMBER(INDEX(Equipment!$A$90:$L$100,MATCH($A61,Equipment!$A$90:$A$100,0),5))),Equipment!$T$14,INDEX(Equipment!$A$90:$L$100,MATCH($A61,Equipment!$A$90:$A$100,0),5))</f>
        <v>18500</v>
      </c>
      <c r="D61" s="137" t="str">
        <f>IF(INDEX(Equipment!$A$90:$L$100,MATCH($A61,Equipment!$A$90:$A$100,0),6)=0,Equipment!$T$14,INDEX(Equipment!$A$90:$L$100,MATCH($A61,Equipment!$A$90:$A$100,0),6))</f>
        <v>Not enough data to calculate</v>
      </c>
      <c r="E61" s="143" t="str">
        <f>IF(INDEX(Equipment!$A$90:$L$100,MATCH($A61,Equipment!$A$90:$A$100,0),9)=0,Equipment!$T$14,INDEX(Equipment!$A$90:$L$100,MATCH($A61,Equipment!$A$90:$A$100,0),9))</f>
        <v>Not enough data to calculate</v>
      </c>
      <c r="F61" s="145" t="str">
        <f>IF(INDEX(Equipment!$A$90:$L$100,MATCH($A61,Equipment!$A$90:$A$100,0),10)=0,Equipment!$T$14,INDEX(Equipment!$A$90:$L$100,MATCH($A61,Equipment!$A$90:$A$100,0),10))</f>
        <v>Not enough data to calculate</v>
      </c>
      <c r="G61" s="22"/>
    </row>
    <row r="62" spans="1:7" ht="18">
      <c r="A62" s="331" t="str">
        <f>Equipment!A96</f>
        <v>ANCO Single Head Table Cheese Press</v>
      </c>
      <c r="B62" s="481" t="str">
        <f>IF(INDEX(Equipment!$A$90:$L$100,MATCH(A62,Equipment!$A$90:$A$100,0),11)=0,Equipment!$T$14,INDEX(Equipment!$A$90:$L$100,MATCH(A62,Equipment!$A$90:$A$100,0),11))</f>
        <v>Not enough data to calculate</v>
      </c>
      <c r="C62" s="136">
        <f>IF(NOT(ISNUMBER(INDEX(Equipment!$A$90:$L$100,MATCH($A62,Equipment!$A$90:$A$100,0),5))),Equipment!$T$14,INDEX(Equipment!$A$90:$L$100,MATCH($A62,Equipment!$A$90:$A$100,0),5))</f>
        <v>3500</v>
      </c>
      <c r="D62" s="137" t="str">
        <f>IF(INDEX(Equipment!$A$90:$L$100,MATCH($A62,Equipment!$A$90:$A$100,0),6)=0,Equipment!$T$14,INDEX(Equipment!$A$90:$L$100,MATCH($A62,Equipment!$A$90:$A$100,0),6))</f>
        <v>Not enough data to calculate</v>
      </c>
      <c r="E62" s="143" t="str">
        <f>IF(INDEX(Equipment!$A$90:$L$100,MATCH($A62,Equipment!$A$90:$A$100,0),9)=0,Equipment!$T$14,INDEX(Equipment!$A$90:$L$100,MATCH($A62,Equipment!$A$90:$A$100,0),9))</f>
        <v>Not enough data to calculate</v>
      </c>
      <c r="F62" s="145" t="str">
        <f>IF(INDEX(Equipment!$A$90:$L$100,MATCH($A62,Equipment!$A$90:$A$100,0),10)=0,Equipment!$T$14,INDEX(Equipment!$A$90:$L$100,MATCH($A62,Equipment!$A$90:$A$100,0),10))</f>
        <v>Not enough data to calculate</v>
      </c>
      <c r="G62" s="22"/>
    </row>
    <row r="63" spans="1:7" ht="18">
      <c r="A63" s="331" t="str">
        <f>Equipment!A97</f>
        <v>ANCO 2-Head Table Cheese Press</v>
      </c>
      <c r="B63" s="481" t="str">
        <f>IF(INDEX(Equipment!$A$90:$L$100,MATCH(A63,Equipment!$A$90:$A$100,0),11)=0,Equipment!$T$14,INDEX(Equipment!$A$90:$L$100,MATCH(A63,Equipment!$A$90:$A$100,0),11))</f>
        <v>Not enough data to calculate</v>
      </c>
      <c r="C63" s="136">
        <f>IF(NOT(ISNUMBER(INDEX(Equipment!$A$90:$L$100,MATCH($A63,Equipment!$A$90:$A$100,0),5))),Equipment!$T$14,INDEX(Equipment!$A$90:$L$100,MATCH($A63,Equipment!$A$90:$A$100,0),5))</f>
        <v>5000</v>
      </c>
      <c r="D63" s="137" t="str">
        <f>IF(INDEX(Equipment!$A$90:$L$100,MATCH($A63,Equipment!$A$90:$A$100,0),6)=0,Equipment!$T$14,INDEX(Equipment!$A$90:$L$100,MATCH($A63,Equipment!$A$90:$A$100,0),6))</f>
        <v>Not enough data to calculate</v>
      </c>
      <c r="E63" s="143" t="str">
        <f>IF(INDEX(Equipment!$A$90:$L$100,MATCH($A63,Equipment!$A$90:$A$100,0),9)=0,Equipment!$T$14,INDEX(Equipment!$A$90:$L$100,MATCH($A63,Equipment!$A$90:$A$100,0),9))</f>
        <v>Not enough data to calculate</v>
      </c>
      <c r="F63" s="145" t="str">
        <f>IF(INDEX(Equipment!$A$90:$L$100,MATCH($A63,Equipment!$A$90:$A$100,0),10)=0,Equipment!$T$14,INDEX(Equipment!$A$90:$L$100,MATCH($A63,Equipment!$A$90:$A$100,0),10))</f>
        <v>Not enough data to calculate</v>
      </c>
      <c r="G63" s="22"/>
    </row>
    <row r="64" spans="1:7" ht="18">
      <c r="A64" s="331" t="str">
        <f>Equipment!A98</f>
        <v>ANCO 4-Head Table Cheese Press</v>
      </c>
      <c r="B64" s="481" t="str">
        <f>IF(INDEX(Equipment!$A$90:$L$100,MATCH(A64,Equipment!$A$90:$A$100,0),11)=0,Equipment!$T$14,INDEX(Equipment!$A$90:$L$100,MATCH(A64,Equipment!$A$90:$A$100,0),11))</f>
        <v>Not enough data to calculate</v>
      </c>
      <c r="C64" s="136">
        <f>IF(NOT(ISNUMBER(INDEX(Equipment!$A$90:$L$100,MATCH($A64,Equipment!$A$90:$A$100,0),5))),Equipment!$T$14,INDEX(Equipment!$A$90:$L$100,MATCH($A64,Equipment!$A$90:$A$100,0),5))</f>
        <v>9000</v>
      </c>
      <c r="D64" s="137" t="str">
        <f>IF(INDEX(Equipment!$A$90:$L$100,MATCH($A64,Equipment!$A$90:$A$100,0),6)=0,Equipment!$T$14,INDEX(Equipment!$A$90:$L$100,MATCH($A64,Equipment!$A$90:$A$100,0),6))</f>
        <v>Not enough data to calculate</v>
      </c>
      <c r="E64" s="143" t="str">
        <f>IF(INDEX(Equipment!$A$90:$L$100,MATCH($A64,Equipment!$A$90:$A$100,0),9)=0,Equipment!$T$14,INDEX(Equipment!$A$90:$L$100,MATCH($A64,Equipment!$A$90:$A$100,0),9))</f>
        <v>Not enough data to calculate</v>
      </c>
      <c r="F64" s="145" t="str">
        <f>IF(INDEX(Equipment!$A$90:$L$100,MATCH($A64,Equipment!$A$90:$A$100,0),10)=0,Equipment!$T$14,INDEX(Equipment!$A$90:$L$100,MATCH($A64,Equipment!$A$90:$A$100,0),10))</f>
        <v>Not enough data to calculate</v>
      </c>
      <c r="G64" s="22"/>
    </row>
    <row r="65" spans="1:7" ht="18">
      <c r="A65" s="331" t="str">
        <f>Equipment!A99</f>
        <v>Quoted Cheese Press</v>
      </c>
      <c r="B65" s="481" t="str">
        <f>IF(INDEX(Equipment!$A$90:$L$100,MATCH(A65,Equipment!$A$90:$A$100,0),11)=0,Equipment!$T$14,INDEX(Equipment!$A$90:$L$100,MATCH(A65,Equipment!$A$90:$A$100,0),11))</f>
        <v>Not enough data to calculate</v>
      </c>
      <c r="C65" s="136">
        <f>IF(NOT(ISNUMBER(INDEX(Equipment!$A$90:$L$100,MATCH($A65,Equipment!$A$90:$A$100,0),5))),Equipment!$T$14,INDEX(Equipment!$A$90:$L$100,MATCH($A65,Equipment!$A$90:$A$100,0),5))</f>
        <v>0</v>
      </c>
      <c r="D65" s="137" t="str">
        <f>IF(INDEX(Equipment!$A$90:$L$100,MATCH($A65,Equipment!$A$90:$A$100,0),6)=0,Equipment!$T$14,INDEX(Equipment!$A$90:$L$100,MATCH($A65,Equipment!$A$90:$A$100,0),6))</f>
        <v>Not enough data to calculate</v>
      </c>
      <c r="E65" s="143" t="str">
        <f>IF(INDEX(Equipment!$A$90:$L$100,MATCH($A65,Equipment!$A$90:$A$100,0),9)=0,Equipment!$T$14,INDEX(Equipment!$A$90:$L$100,MATCH($A65,Equipment!$A$90:$A$100,0),9))</f>
        <v>Not enough data to calculate</v>
      </c>
      <c r="F65" s="145" t="str">
        <f>IF(INDEX(Equipment!$A$90:$L$100,MATCH($A65,Equipment!$A$90:$A$100,0),10)=0,Equipment!$T$14,INDEX(Equipment!$A$90:$L$100,MATCH($A65,Equipment!$A$90:$A$100,0),10))</f>
        <v>Not enough data to calculate</v>
      </c>
      <c r="G65" s="22"/>
    </row>
    <row r="66" spans="1:7" ht="18">
      <c r="A66" s="343" t="str">
        <f>Equipment!A100</f>
        <v>Average Cheese Press</v>
      </c>
      <c r="B66" s="482" t="str">
        <f>IF(INDEX(Equipment!$A$90:$L$100,MATCH(A66,Equipment!$A$90:$A$100,0),11)=0,Equipment!$T$14,INDEX(Equipment!$A$90:$L$100,MATCH(A66,Equipment!$A$90:$A$100,0),11))</f>
        <v>Not enough data to calculate</v>
      </c>
      <c r="C66" s="139">
        <f>IF(NOT(ISNUMBER(INDEX(Equipment!$A$90:$L$100,MATCH($A66,Equipment!$A$90:$A$100,0),5))),Equipment!$T$14,INDEX(Equipment!$A$90:$L$100,MATCH($A66,Equipment!$A$90:$A$100,0),5))</f>
        <v>12120.57</v>
      </c>
      <c r="D66" s="140" t="str">
        <f>IF(INDEX(Equipment!$A$90:$L$100,MATCH($A66,Equipment!$A$90:$A$100,0),6)=0,Equipment!$T$14,INDEX(Equipment!$A$90:$L$100,MATCH($A66,Equipment!$A$90:$A$100,0),6))</f>
        <v>Not enough data to calculate</v>
      </c>
      <c r="E66" s="144" t="str">
        <f>IF(INDEX(Equipment!$A$90:$L$100,MATCH($A66,Equipment!$A$90:$A$100,0),9)=0,Equipment!$T$14,INDEX(Equipment!$A$90:$L$100,MATCH($A66,Equipment!$A$90:$A$100,0),9))</f>
        <v>Not enough data to calculate</v>
      </c>
      <c r="F66" s="146" t="str">
        <f>IF(INDEX(Equipment!$A$90:$L$100,MATCH($A66,Equipment!$A$90:$A$100,0),10)=0,Equipment!$T$14,INDEX(Equipment!$A$90:$L$100,MATCH($A66,Equipment!$A$90:$A$100,0),10))</f>
        <v>Not enough data to calculate</v>
      </c>
      <c r="G66" s="22"/>
    </row>
    <row r="67" spans="1:7" ht="18">
      <c r="A67" s="325"/>
      <c r="B67" s="481"/>
      <c r="C67" s="136"/>
      <c r="D67" s="137"/>
      <c r="E67" s="138"/>
      <c r="F67" s="141"/>
      <c r="G67" s="22"/>
    </row>
    <row r="68" spans="1:7" ht="18">
      <c r="A68" s="83"/>
      <c r="B68" s="83"/>
      <c r="C68" s="83"/>
      <c r="D68" s="153"/>
      <c r="E68" s="89"/>
      <c r="F68" s="320"/>
      <c r="G68" s="22"/>
    </row>
    <row r="69" spans="1:7" ht="18">
      <c r="A69" s="597" t="s">
        <v>304</v>
      </c>
      <c r="B69" s="598"/>
      <c r="C69" s="598"/>
      <c r="D69" s="598"/>
      <c r="E69" s="598"/>
      <c r="F69" s="599"/>
      <c r="G69" s="22"/>
    </row>
    <row r="70" spans="1:7" ht="18">
      <c r="A70" s="379"/>
      <c r="B70" s="477" t="s">
        <v>300</v>
      </c>
      <c r="C70" s="477" t="s">
        <v>281</v>
      </c>
      <c r="D70" s="478" t="s">
        <v>267</v>
      </c>
      <c r="E70" s="479" t="s">
        <v>301</v>
      </c>
      <c r="F70" s="480" t="s">
        <v>302</v>
      </c>
      <c r="G70" s="22"/>
    </row>
    <row r="71" spans="1:7" ht="18">
      <c r="A71" s="331" t="str">
        <f>Equipment!A139</f>
        <v>Quoted Slicers</v>
      </c>
      <c r="B71" s="481" t="str">
        <f>IF(INDEX(Equipment!$A$139:$L$140,MATCH(A71,Equipment!$A$139:$A$140,0),11)=0,Equipment!$T$14,INDEX(Equipment!$A$139:$L$140,MATCH(A71,Equipment!$A$139:$A$140,0),11))</f>
        <v>Not enough data to calculate</v>
      </c>
      <c r="C71" s="136">
        <f>IF(NOT(ISNUMBER(INDEX(Equipment!$A$139:$L$140,MATCH($A71,Equipment!$A$139:$A$140,0),5))),Equipment!$T$14,INDEX(Equipment!$A$139:$L$140,MATCH($A71,Equipment!$A$139:$A$140,0),5))</f>
        <v>0</v>
      </c>
      <c r="D71" s="137" t="str">
        <f>IF(INDEX(Equipment!$A$139:$L$140,MATCH($A71,Equipment!$A$139:$A$140,0),6)=0,Equipment!$T$14,INDEX(Equipment!$A$139:$L$140,MATCH($A71,Equipment!$A$139:$A$140,0),6))</f>
        <v>Not enough data to calculate</v>
      </c>
      <c r="E71" s="143" t="str">
        <f>IF(INDEX(Equipment!$A$139:$L$140,MATCH($A71,Equipment!$A$139:$A$140,0),9)=0,Equipment!$T$14,INDEX(Equipment!$A$139:$L$140,MATCH($A71,Equipment!$A$139:$A$140,0),9))</f>
        <v>Not enough data to calculate</v>
      </c>
      <c r="F71" s="145" t="str">
        <f>IF(INDEX(Equipment!$A$139:$L$140,MATCH($A71,Equipment!$A$139:$A$140,0),10)=0,Equipment!$T$14,INDEX(Equipment!$A$139:$L$140,MATCH($A71,Equipment!$A$139:$A$140,0),10))</f>
        <v>Not enough data to calculate</v>
      </c>
      <c r="G71" s="22"/>
    </row>
    <row r="72" spans="1:7" ht="18">
      <c r="A72" s="343" t="str">
        <f>Equipment!A140</f>
        <v>Average Slicers</v>
      </c>
      <c r="B72" s="482" t="str">
        <f>IF(INDEX(Equipment!$A$139:$L$140,MATCH(A72,Equipment!$A$139:$A$140,0),11)=0,Equipment!$T$14,INDEX(Equipment!$A$139:$L$140,MATCH(A72,Equipment!$A$139:$A$140,0),11))</f>
        <v>Not enough data to calculate</v>
      </c>
      <c r="C72" s="139">
        <f>IF(NOT(ISNUMBER(INDEX(Equipment!$A$139:$L$140,MATCH($A72,Equipment!$A$139:$A$140,0),5))),Equipment!$T$14,INDEX(Equipment!$A$139:$L$140,MATCH($A72,Equipment!$A$139:$A$140,0),5))</f>
        <v>10262.64</v>
      </c>
      <c r="D72" s="140" t="str">
        <f>IF(INDEX(Equipment!$A$139:$L$140,MATCH($A72,Equipment!$A$139:$A$140,0),6)=0,Equipment!$T$14,INDEX(Equipment!$A$139:$L$140,MATCH($A72,Equipment!$A$139:$A$140,0),6))</f>
        <v>Not enough data to calculate</v>
      </c>
      <c r="E72" s="144" t="str">
        <f>IF(INDEX(Equipment!$A$139:$L$140,MATCH($A72,Equipment!$A$139:$A$140,0),9)=0,Equipment!$T$14,INDEX(Equipment!$A$139:$L$140,MATCH($A72,Equipment!$A$139:$A$140,0),9))</f>
        <v>Not enough data to calculate</v>
      </c>
      <c r="F72" s="146" t="str">
        <f>IF(INDEX(Equipment!$A$139:$L$140,MATCH($A72,Equipment!$A$139:$A$140,0),10)=0,Equipment!$T$14,INDEX(Equipment!$A$139:$L$140,MATCH($A72,Equipment!$A$139:$A$140,0),10))</f>
        <v>Not enough data to calculate</v>
      </c>
      <c r="G72" s="22"/>
    </row>
    <row r="73" spans="1:7" ht="18">
      <c r="A73" s="325"/>
      <c r="B73" s="481"/>
      <c r="C73" s="136"/>
      <c r="D73" s="137"/>
      <c r="E73" s="138"/>
      <c r="F73" s="141"/>
      <c r="G73" s="22"/>
    </row>
    <row r="74" spans="1:7" ht="18">
      <c r="A74" s="83"/>
      <c r="B74" s="83"/>
      <c r="C74" s="83"/>
      <c r="D74" s="153"/>
      <c r="E74" s="89"/>
      <c r="F74" s="320"/>
      <c r="G74" s="22"/>
    </row>
    <row r="75" spans="1:7" ht="18">
      <c r="A75" s="597" t="s">
        <v>130</v>
      </c>
      <c r="B75" s="598"/>
      <c r="C75" s="598"/>
      <c r="D75" s="598"/>
      <c r="E75" s="598"/>
      <c r="F75" s="599"/>
      <c r="G75" s="22"/>
    </row>
    <row r="76" spans="1:7" ht="18">
      <c r="A76" s="379"/>
      <c r="B76" s="477" t="s">
        <v>300</v>
      </c>
      <c r="C76" s="477" t="s">
        <v>281</v>
      </c>
      <c r="D76" s="478" t="s">
        <v>267</v>
      </c>
      <c r="E76" s="479" t="s">
        <v>301</v>
      </c>
      <c r="F76" s="480" t="s">
        <v>302</v>
      </c>
      <c r="G76" s="22"/>
    </row>
    <row r="77" spans="1:7" ht="18">
      <c r="A77" s="331" t="str">
        <f>Equipment!A144</f>
        <v>Quoted Smoker</v>
      </c>
      <c r="B77" s="481" t="str">
        <f>IF(INDEX(Equipment!$A$144:$L$145,MATCH(A77,Equipment!$A$144:$A$145,0),11)=0,Equipment!$T$14,INDEX(Equipment!$A$144:$L$145,MATCH(A77,Equipment!$A$144:$A$145,0),11))</f>
        <v>Not enough data to calculate</v>
      </c>
      <c r="C77" s="136">
        <f>IF(NOT(ISNUMBER(INDEX(Equipment!$A$144:$L$145,MATCH($A77,Equipment!$A$144:$A$145,0),5))),Equipment!$T$14,INDEX(Equipment!$A$144:$L$145,MATCH($A77,Equipment!$A$144:$A$145,0),5))</f>
        <v>0</v>
      </c>
      <c r="D77" s="137" t="str">
        <f>IF(INDEX(Equipment!$A$144:$L$145,MATCH($A77,Equipment!$A$144:$A$145,0),6)=0,Equipment!$T$14,INDEX(Equipment!$A$144:$L$145,MATCH($A77,Equipment!$A$144:$A$145,0),6))</f>
        <v>Not enough data to calculate</v>
      </c>
      <c r="E77" s="143" t="str">
        <f>IF(INDEX(Equipment!$A$144:$L$145,MATCH($A77,Equipment!$A$144:$A$145,0),9)=0,Equipment!$T$14,INDEX(Equipment!$A$144:$L$145,MATCH($A77,Equipment!$A$144:$A$145,0),9))</f>
        <v>Not enough data to calculate</v>
      </c>
      <c r="F77" s="145" t="str">
        <f>IF(INDEX(Equipment!$A$144:$L$145,MATCH($A77,Equipment!$A$144:$A$145,0),10)=0,Equipment!$T$14,INDEX(Equipment!$A$144:$L$145,MATCH($A77,Equipment!$A$144:$A$145,0),10))</f>
        <v>Not enough data to calculate</v>
      </c>
      <c r="G77" s="22"/>
    </row>
    <row r="78" spans="1:7" ht="18">
      <c r="A78" s="343" t="str">
        <f>Equipment!A145</f>
        <v>Average Smoker</v>
      </c>
      <c r="B78" s="482" t="str">
        <f>IF(INDEX(Equipment!$A$144:$L$145,MATCH(A78,Equipment!$A$144:$A$145,0),11)=0,Equipment!$T$14,INDEX(Equipment!$A$144:$L$145,MATCH(A78,Equipment!$A$144:$A$145,0),11))</f>
        <v>Not enough data to calculate</v>
      </c>
      <c r="C78" s="139">
        <f>IF(NOT(ISNUMBER(INDEX(Equipment!$A$144:$L$145,MATCH($A78,Equipment!$A$144:$A$145,0),5))),Equipment!$T$14,INDEX(Equipment!$A$144:$L$145,MATCH($A78,Equipment!$A$144:$A$145,0),5))</f>
        <v>99493</v>
      </c>
      <c r="D78" s="140" t="str">
        <f>IF(INDEX(Equipment!$A$144:$L$145,MATCH($A78,Equipment!$A$144:$A$145,0),6)=0,Equipment!$T$14,INDEX(Equipment!$A$144:$L$145,MATCH($A78,Equipment!$A$144:$A$145,0),6))</f>
        <v>Not enough data to calculate</v>
      </c>
      <c r="E78" s="144" t="str">
        <f>IF(INDEX(Equipment!$A$144:$L$145,MATCH($A78,Equipment!$A$144:$A$145,0),9)=0,Equipment!$T$14,INDEX(Equipment!$A$144:$L$145,MATCH($A78,Equipment!$A$144:$A$145,0),9))</f>
        <v>Not enough data to calculate</v>
      </c>
      <c r="F78" s="146" t="str">
        <f>IF(INDEX(Equipment!$A$144:$L$145,MATCH($A78,Equipment!$A$144:$A$145,0),10)=0,Equipment!$T$14,INDEX(Equipment!$A$144:$L$145,MATCH($A78,Equipment!$A$144:$A$145,0),10))</f>
        <v>Not enough data to calculate</v>
      </c>
      <c r="G78" s="22"/>
    </row>
    <row r="79" spans="1:7" ht="18">
      <c r="A79" s="325"/>
      <c r="B79" s="481"/>
      <c r="C79" s="136"/>
      <c r="D79" s="137"/>
      <c r="E79" s="138"/>
      <c r="F79" s="141"/>
      <c r="G79" s="22"/>
    </row>
    <row r="80" spans="1:7" ht="18">
      <c r="A80" s="83"/>
      <c r="B80" s="83"/>
      <c r="C80" s="83"/>
      <c r="D80" s="153"/>
      <c r="E80" s="89"/>
      <c r="F80" s="320"/>
      <c r="G80" s="22"/>
    </row>
    <row r="81" spans="1:7" ht="18">
      <c r="A81" s="597" t="s">
        <v>305</v>
      </c>
      <c r="B81" s="598"/>
      <c r="C81" s="598"/>
      <c r="D81" s="598"/>
      <c r="E81" s="598"/>
      <c r="F81" s="599"/>
      <c r="G81" s="22"/>
    </row>
    <row r="82" spans="1:7" ht="18">
      <c r="A82" s="379"/>
      <c r="B82" s="477" t="s">
        <v>300</v>
      </c>
      <c r="C82" s="477" t="s">
        <v>281</v>
      </c>
      <c r="D82" s="478" t="s">
        <v>267</v>
      </c>
      <c r="E82" s="479" t="s">
        <v>301</v>
      </c>
      <c r="F82" s="480" t="s">
        <v>302</v>
      </c>
      <c r="G82" s="22"/>
    </row>
    <row r="83" spans="1:7" ht="18">
      <c r="A83" s="331" t="str">
        <f>Equipment!A149</f>
        <v>Quoted Stretchers</v>
      </c>
      <c r="B83" s="481" t="str">
        <f>IF(INDEX(Equipment!$A$149:$L$150,MATCH(A83,Equipment!$A$149:$A$150,0),11)=0,Equipment!$T$14,INDEX(Equipment!$A$149:$L$150,MATCH(A83,Equipment!$A$149:$A$150,0),11))</f>
        <v>Not enough data to calculate</v>
      </c>
      <c r="C83" s="136">
        <f>IF(NOT(ISNUMBER(INDEX(Equipment!$A$149:$L$150,MATCH($A83,Equipment!$A$149:$A$150,0),5))),Equipment!$T$14,INDEX(Equipment!$A$149:$L$150,MATCH($A83,Equipment!$A$149:$A$150,0),5))</f>
        <v>0</v>
      </c>
      <c r="D83" s="137" t="str">
        <f>IF(INDEX(Equipment!$A$149:$L$150,MATCH($A83,Equipment!$A$149:$A$150,0),6)=0,Equipment!$T$14,INDEX(Equipment!$A$149:$L$150,MATCH($A83,Equipment!$A$149:$A$150,0),6))</f>
        <v>Not enough data to calculate</v>
      </c>
      <c r="E83" s="143" t="str">
        <f>IF(INDEX(Equipment!$A$149:$L$150,MATCH($A83,Equipment!$A$149:$A$150,0),9)=0,Equipment!$T$14,INDEX(Equipment!$A$149:$L$150,MATCH($A83,Equipment!$A$149:$A$150,0),9))</f>
        <v>Not enough data to calculate</v>
      </c>
      <c r="F83" s="145" t="str">
        <f>IF(INDEX(Equipment!$A$149:$L$150,MATCH($A83,Equipment!$A$149:$A$150,0),10)=0,Equipment!$T$14,INDEX(Equipment!$A$149:$L$150,MATCH($A83,Equipment!$A$149:$A$150,0),10))</f>
        <v>Not enough data to calculate</v>
      </c>
      <c r="G83" s="22"/>
    </row>
    <row r="84" spans="1:7" ht="18">
      <c r="A84" s="343" t="str">
        <f>Equipment!A150</f>
        <v>Average Stretchers</v>
      </c>
      <c r="B84" s="482" t="str">
        <f>IF(INDEX(Equipment!$A$149:$L$150,MATCH(A84,Equipment!$A$149:$A$150,0),11)=0,Equipment!$T$14,INDEX(Equipment!$A$149:$L$150,MATCH(A84,Equipment!$A$149:$A$150,0),11))</f>
        <v>Not enough data to calculate</v>
      </c>
      <c r="C84" s="139">
        <f>IF(NOT(ISNUMBER(INDEX(Equipment!$A$149:$L$150,MATCH($A84,Equipment!$A$149:$A$150,0),5))),Equipment!$T$14,INDEX(Equipment!$A$149:$L$150,MATCH($A84,Equipment!$A$149:$A$150,0),5))</f>
        <v>65000</v>
      </c>
      <c r="D84" s="140" t="str">
        <f>IF(INDEX(Equipment!$A$149:$L$150,MATCH($A84,Equipment!$A$149:$A$150,0),6)=0,Equipment!$T$14,INDEX(Equipment!$A$149:$L$150,MATCH($A84,Equipment!$A$149:$A$150,0),6))</f>
        <v>Not enough data to calculate</v>
      </c>
      <c r="E84" s="144" t="str">
        <f>IF(INDEX(Equipment!$A$149:$L$150,MATCH($A84,Equipment!$A$149:$A$150,0),9)=0,Equipment!$T$14,INDEX(Equipment!$A$149:$L$150,MATCH($A84,Equipment!$A$149:$A$150,0),9))</f>
        <v>Not enough data to calculate</v>
      </c>
      <c r="F84" s="146" t="str">
        <f>IF(INDEX(Equipment!$A$149:$L$150,MATCH($A84,Equipment!$A$149:$A$150,0),10)=0,Equipment!$T$14,INDEX(Equipment!$A$149:$L$150,MATCH($A84,Equipment!$A$149:$A$150,0),10))</f>
        <v>Not enough data to calculate</v>
      </c>
      <c r="G84" s="22"/>
    </row>
    <row r="85" spans="1:7" ht="18">
      <c r="A85" s="325"/>
      <c r="B85" s="481"/>
      <c r="C85" s="136"/>
      <c r="D85" s="137"/>
      <c r="E85" s="138"/>
      <c r="F85" s="141"/>
      <c r="G85" s="22"/>
    </row>
    <row r="86" spans="1:7" ht="18">
      <c r="A86" s="83"/>
      <c r="B86" s="83"/>
      <c r="C86" s="83"/>
      <c r="D86" s="153"/>
      <c r="E86" s="89"/>
      <c r="F86" s="320"/>
      <c r="G86" s="22"/>
    </row>
    <row r="87" spans="1:7" ht="18">
      <c r="A87" s="597" t="s">
        <v>132</v>
      </c>
      <c r="B87" s="598"/>
      <c r="C87" s="598"/>
      <c r="D87" s="598"/>
      <c r="E87" s="598"/>
      <c r="F87" s="599"/>
      <c r="G87" s="22"/>
    </row>
    <row r="88" spans="1:7" ht="18">
      <c r="A88" s="379"/>
      <c r="B88" s="477" t="s">
        <v>300</v>
      </c>
      <c r="C88" s="477" t="s">
        <v>281</v>
      </c>
      <c r="D88" s="478" t="s">
        <v>267</v>
      </c>
      <c r="E88" s="479" t="s">
        <v>301</v>
      </c>
      <c r="F88" s="480" t="s">
        <v>302</v>
      </c>
      <c r="G88" s="22"/>
    </row>
    <row r="89" spans="1:7" ht="18">
      <c r="A89" s="331" t="str">
        <f>IFERROR(INDEX(Equipment!$A$57:$A$68,MATCH(B89,Equipment!$K$57:$K$68,0),1),"")</f>
        <v>ANCO Open Cheese Vat 2000 Gal/17200 Lbs</v>
      </c>
      <c r="B89" s="481">
        <f>IF(SMALL(Equipment!$K$57:$K$68,1),SMALL(Equipment!$K$57:$K$68,1),Equipment!$T$13)</f>
        <v>3.2914189146057857E-2</v>
      </c>
      <c r="C89" s="136">
        <f>IF(NOT(ISNUMBER(INDEX(Equipment!$A$57:$L$68,MATCH($A89,Equipment!$A$57:$A$68,0),5))),Equipment!$T$14,INDEX(Equipment!$A$57:$L$68,MATCH($A89,Equipment!$A$57:$A$68,0),5))</f>
        <v>69450</v>
      </c>
      <c r="D89" s="137">
        <f>IF(INDEX(Equipment!$A$57:$L$69,MATCH($A89,Equipment!$A$57:$A$69,0),6)=0,Equipment!$T$14,INDEX(Equipment!$A$57:$L$69,MATCH($A89,Equipment!$A$57:$A$69,0),6))</f>
        <v>3.2914189146057857E-2</v>
      </c>
      <c r="E89" s="143">
        <f>IF(INDEX(Equipment!$A$57:$L$69,MATCH($A89,Equipment!$A$57:$A$69,0),9)=0,Equipment!$T$14,INDEX(Equipment!$A$57:$L$69,MATCH($A89,Equipment!$A$57:$A$69,0),9))</f>
        <v>1517.9202384810164</v>
      </c>
      <c r="F89" s="145">
        <f>IF(INDEX(Equipment!$A$57:$L$69,MATCH($A89,Equipment!$A$57:$A$69,0),10)=0,Equipment!$T$14,INDEX(Equipment!$A$57:$L$69,MATCH($A89,Equipment!$A$57:$A$69,0),10))</f>
        <v>6336.7146463572599</v>
      </c>
      <c r="G89" s="22"/>
    </row>
    <row r="90" spans="1:7" ht="18">
      <c r="A90" s="331" t="str">
        <f>IFERROR(INDEX(Equipment!$A$57:$A$68,MATCH(B90,Equipment!$K$57:$K$68,0),1),"")</f>
        <v>ANCO Open Cheese Vat 1500 Gal/12900 Lbs</v>
      </c>
      <c r="B90" s="481">
        <f>IF(SMALL(Equipment!$K$57:$K$68,1),SMALL(Equipment!$K$57:$K$68,2),Equipment!$T$13)</f>
        <v>4.3885585528077142E-2</v>
      </c>
      <c r="C90" s="136">
        <f>IF(NOT(ISNUMBER(INDEX(Equipment!$A$57:$L$68,MATCH($A90,Equipment!$A$57:$A$68,0),5))),Equipment!$T$14,INDEX(Equipment!$A$57:$L$68,MATCH($A90,Equipment!$A$57:$A$68,0),5))</f>
        <v>64450</v>
      </c>
      <c r="D90" s="137">
        <f>IF(INDEX(Equipment!$A$57:$L$69,MATCH($A90,Equipment!$A$57:$A$69,0),6)=0,Equipment!$T$14,INDEX(Equipment!$A$57:$L$69,MATCH($A90,Equipment!$A$57:$A$69,0),6))</f>
        <v>4.3885585528077142E-2</v>
      </c>
      <c r="E90" s="143">
        <f>IF(INDEX(Equipment!$A$57:$L$69,MATCH($A90,Equipment!$A$57:$A$69,0),9)=0,Equipment!$T$14,INDEX(Equipment!$A$57:$L$69,MATCH($A90,Equipment!$A$57:$A$69,0),9))</f>
        <v>1125.5248012186591</v>
      </c>
      <c r="F90" s="145">
        <f>IF(INDEX(Equipment!$A$57:$L$69,MATCH($A90,Equipment!$A$57:$A$69,0),10)=0,Equipment!$T$14,INDEX(Equipment!$A$57:$L$69,MATCH($A90,Equipment!$A$57:$A$69,0),10))</f>
        <v>4698.6194082620214</v>
      </c>
      <c r="G90" s="22"/>
    </row>
    <row r="91" spans="1:7" ht="18">
      <c r="A91" s="331" t="str">
        <f>IFERROR(INDEX(Equipment!$A$57:$A$68,MATCH(B91,Equipment!$K$57:$K$68,0),1),"")</f>
        <v>ANCO Open Cheese Vat 1200 Gal/10320 Lbs</v>
      </c>
      <c r="B91" s="481">
        <f>IF(SMALL(Equipment!$K$57:$K$68,1),SMALL(Equipment!$K$57:$K$68,3),Equipment!$T$13)</f>
        <v>5.4856981910096421E-2</v>
      </c>
      <c r="C91" s="136">
        <f>IF(NOT(ISNUMBER(INDEX(Equipment!$A$57:$L$68,MATCH($A91,Equipment!$A$57:$A$68,0),5))),Equipment!$T$14,INDEX(Equipment!$A$57:$L$68,MATCH($A91,Equipment!$A$57:$A$68,0),5))</f>
        <v>59450</v>
      </c>
      <c r="D91" s="137">
        <f>IF(INDEX(Equipment!$A$57:$L$69,MATCH($A91,Equipment!$A$57:$A$69,0),6)=0,Equipment!$T$14,INDEX(Equipment!$A$57:$L$69,MATCH($A91,Equipment!$A$57:$A$69,0),6))</f>
        <v>5.4856981910096428E-2</v>
      </c>
      <c r="E91" s="143">
        <f>IF(INDEX(Equipment!$A$57:$L$69,MATCH($A91,Equipment!$A$57:$A$69,0),9)=0,Equipment!$T$14,INDEX(Equipment!$A$57:$L$69,MATCH($A91,Equipment!$A$57:$A$69,0),9))</f>
        <v>890.08753886124441</v>
      </c>
      <c r="F91" s="145">
        <f>IF(INDEX(Equipment!$A$57:$L$69,MATCH($A91,Equipment!$A$57:$A$69,0),10)=0,Equipment!$T$14,INDEX(Equipment!$A$57:$L$69,MATCH($A91,Equipment!$A$57:$A$69,0),10))</f>
        <v>3715.7622654048778</v>
      </c>
      <c r="G91" s="22"/>
    </row>
    <row r="92" spans="1:7" ht="18">
      <c r="A92" s="331" t="str">
        <f>IFERROR(INDEX(Equipment!$A$57:$A$68,MATCH(B92,Equipment!$K$57:$K$68,0),1),"")</f>
        <v>ANCO Open Cheese Vat 1000 Gal/8600 Lbs</v>
      </c>
      <c r="B92" s="481">
        <f>IF(SMALL(Equipment!$K$57:$K$68,1),SMALL(Equipment!$K$57:$K$68,4),Equipment!$T$13)</f>
        <v>6.5828378292115713E-2</v>
      </c>
      <c r="C92" s="136">
        <f>IF(NOT(ISNUMBER(INDEX(Equipment!$A$57:$L$68,MATCH($A92,Equipment!$A$57:$A$68,0),5))),Equipment!$T$14,INDEX(Equipment!$A$57:$L$68,MATCH($A92,Equipment!$A$57:$A$68,0),5))</f>
        <v>55450</v>
      </c>
      <c r="D92" s="137">
        <f>IF(INDEX(Equipment!$A$57:$L$69,MATCH($A92,Equipment!$A$57:$A$69,0),6)=0,Equipment!$T$14,INDEX(Equipment!$A$57:$L$69,MATCH($A92,Equipment!$A$57:$A$69,0),6))</f>
        <v>6.5828378292115713E-2</v>
      </c>
      <c r="E92" s="143">
        <f>IF(INDEX(Equipment!$A$57:$L$69,MATCH($A92,Equipment!$A$57:$A$69,0),9)=0,Equipment!$T$14,INDEX(Equipment!$A$57:$L$69,MATCH($A92,Equipment!$A$57:$A$69,0),9))</f>
        <v>733.12936395630152</v>
      </c>
      <c r="F92" s="145">
        <f>IF(INDEX(Equipment!$A$57:$L$69,MATCH($A92,Equipment!$A$57:$A$69,0),10)=0,Equipment!$T$14,INDEX(Equipment!$A$57:$L$69,MATCH($A92,Equipment!$A$57:$A$69,0),10))</f>
        <v>3060.5241701667824</v>
      </c>
      <c r="G92" s="22"/>
    </row>
    <row r="93" spans="1:7" ht="18">
      <c r="A93" s="331" t="str">
        <f>IFERROR(INDEX(Equipment!$A$57:$A$68,MATCH(B93,Equipment!$K$57:$K$68,0),1),"")</f>
        <v>ANCO Open Cheese Vat 800 Gal/6880 Lbs</v>
      </c>
      <c r="B93" s="481">
        <f>IF(SMALL(Equipment!$K$57:$K$68,1),SMALL(Equipment!$K$57:$K$68,5),Equipment!$T$13)</f>
        <v>8.2285472865144635E-2</v>
      </c>
      <c r="C93" s="136">
        <f>IF(NOT(ISNUMBER(INDEX(Equipment!$A$57:$L$68,MATCH($A93,Equipment!$A$57:$A$68,0),5))),Equipment!$T$14,INDEX(Equipment!$A$57:$L$68,MATCH($A93,Equipment!$A$57:$A$68,0),5))</f>
        <v>41950</v>
      </c>
      <c r="D93" s="137">
        <f>IF(INDEX(Equipment!$A$57:$L$69,MATCH($A93,Equipment!$A$57:$A$69,0),6)=0,Equipment!$T$14,INDEX(Equipment!$A$57:$L$69,MATCH($A93,Equipment!$A$57:$A$69,0),6))</f>
        <v>8.2285472865144635E-2</v>
      </c>
      <c r="E93" s="143">
        <f>IF(INDEX(Equipment!$A$57:$L$69,MATCH($A93,Equipment!$A$57:$A$69,0),9)=0,Equipment!$T$14,INDEX(Equipment!$A$57:$L$69,MATCH($A93,Equipment!$A$57:$A$69,0),9))</f>
        <v>576.17118905135851</v>
      </c>
      <c r="F93" s="145">
        <f>IF(INDEX(Equipment!$A$57:$L$69,MATCH($A93,Equipment!$A$57:$A$69,0),10)=0,Equipment!$T$14,INDEX(Equipment!$A$57:$L$69,MATCH($A93,Equipment!$A$57:$A$69,0),10))</f>
        <v>2405.286074928687</v>
      </c>
      <c r="G93" s="22"/>
    </row>
    <row r="94" spans="1:7" ht="18">
      <c r="A94" s="331" t="str">
        <f>IFERROR(INDEX(Equipment!$A$57:$A$68,MATCH(B94,Equipment!$K$57:$K$68,0),1),"")</f>
        <v>ANCO Open Cheese Vat 600 Gal/5160 Lbs</v>
      </c>
      <c r="B94" s="481">
        <f>IF(SMALL(Equipment!$K$57:$K$68,1),SMALL(Equipment!$K$57:$K$68,6),Equipment!$T$13)</f>
        <v>0.10971396382019284</v>
      </c>
      <c r="C94" s="136">
        <f>IF(NOT(ISNUMBER(INDEX(Equipment!$A$57:$L$68,MATCH($A94,Equipment!$A$57:$A$68,0),5))),Equipment!$T$14,INDEX(Equipment!$A$57:$L$68,MATCH($A94,Equipment!$A$57:$A$68,0),5))</f>
        <v>38950</v>
      </c>
      <c r="D94" s="137">
        <f>IF(INDEX(Equipment!$A$57:$L$69,MATCH($A94,Equipment!$A$57:$A$69,0),6)=0,Equipment!$T$14,INDEX(Equipment!$A$57:$L$69,MATCH($A94,Equipment!$A$57:$A$69,0),6))</f>
        <v>0.10971396382019286</v>
      </c>
      <c r="E94" s="143">
        <f>IF(INDEX(Equipment!$A$57:$L$69,MATCH($A94,Equipment!$A$57:$A$69,0),9)=0,Equipment!$T$14,INDEX(Equipment!$A$57:$L$69,MATCH($A94,Equipment!$A$57:$A$69,0),9))</f>
        <v>419.21301414641567</v>
      </c>
      <c r="F94" s="145">
        <f>IF(INDEX(Equipment!$A$57:$L$69,MATCH($A94,Equipment!$A$57:$A$69,0),10)=0,Equipment!$T$14,INDEX(Equipment!$A$57:$L$69,MATCH($A94,Equipment!$A$57:$A$69,0),10))</f>
        <v>1750.0479796905922</v>
      </c>
      <c r="G94" s="22"/>
    </row>
    <row r="95" spans="1:7" ht="18">
      <c r="A95" s="331" t="str">
        <f>IFERROR(INDEX(Equipment!$A$57:$A$68,MATCH(B95,Equipment!$K$57:$K$68,0),1),"")</f>
        <v>ANCO Open Cheese Vat 500 Gal/4300 Lbs</v>
      </c>
      <c r="B95" s="481">
        <f>IF(SMALL(Equipment!$K$57:$K$68,1),SMALL(Equipment!$K$57:$K$68,7),Equipment!$T$13)</f>
        <v>0.13165675658423143</v>
      </c>
      <c r="C95" s="136">
        <f>IF(NOT(ISNUMBER(INDEX(Equipment!$A$57:$L$68,MATCH($A95,Equipment!$A$57:$A$68,0),5))),Equipment!$T$14,INDEX(Equipment!$A$57:$L$68,MATCH($A95,Equipment!$A$57:$A$68,0),5))</f>
        <v>36950</v>
      </c>
      <c r="D95" s="137">
        <f>IF(INDEX(Equipment!$A$57:$L$69,MATCH($A95,Equipment!$A$57:$A$69,0),6)=0,Equipment!$T$14,INDEX(Equipment!$A$57:$L$69,MATCH($A95,Equipment!$A$57:$A$69,0),6))</f>
        <v>0.13165675658423143</v>
      </c>
      <c r="E95" s="143">
        <f>IF(INDEX(Equipment!$A$57:$L$69,MATCH($A95,Equipment!$A$57:$A$69,0),9)=0,Equipment!$T$14,INDEX(Equipment!$A$57:$L$69,MATCH($A95,Equipment!$A$57:$A$69,0),9))</f>
        <v>340.73392669394411</v>
      </c>
      <c r="F95" s="145">
        <f>IF(INDEX(Equipment!$A$57:$L$69,MATCH($A95,Equipment!$A$57:$A$69,0),10)=0,Equipment!$T$14,INDEX(Equipment!$A$57:$L$69,MATCH($A95,Equipment!$A$57:$A$69,0),10))</f>
        <v>1422.4289320715445</v>
      </c>
      <c r="G95" s="22"/>
    </row>
    <row r="96" spans="1:7" ht="18">
      <c r="A96" s="331" t="str">
        <f>IFERROR(INDEX(Equipment!$A$57:$A$68,MATCH(B96,Equipment!$K$57:$K$68,0),1),"")</f>
        <v>ANCO Open Cheese Vat 400 Gal/3440 Lbs</v>
      </c>
      <c r="B96" s="481">
        <f>IF(SMALL(Equipment!$K$57:$K$68,1),SMALL(Equipment!$K$57:$K$68,8),Equipment!$T$13)</f>
        <v>0.16457094573028927</v>
      </c>
      <c r="C96" s="136">
        <f>IF(NOT(ISNUMBER(INDEX(Equipment!$A$57:$L$68,MATCH($A96,Equipment!$A$57:$A$68,0),5))),Equipment!$T$14,INDEX(Equipment!$A$57:$L$68,MATCH($A96,Equipment!$A$57:$A$68,0),5))</f>
        <v>34950</v>
      </c>
      <c r="D96" s="137">
        <f>IF(INDEX(Equipment!$A$57:$L$69,MATCH($A96,Equipment!$A$57:$A$69,0),6)=0,Equipment!$T$14,INDEX(Equipment!$A$57:$L$69,MATCH($A96,Equipment!$A$57:$A$69,0),6))</f>
        <v>0.16457094573028927</v>
      </c>
      <c r="E96" s="143">
        <f>IF(INDEX(Equipment!$A$57:$L$69,MATCH($A96,Equipment!$A$57:$A$69,0),9)=0,Equipment!$T$14,INDEX(Equipment!$A$57:$L$69,MATCH($A96,Equipment!$A$57:$A$69,0),9))</f>
        <v>262.25483924147267</v>
      </c>
      <c r="F96" s="145">
        <f>IF(INDEX(Equipment!$A$57:$L$69,MATCH($A96,Equipment!$A$57:$A$69,0),10)=0,Equipment!$T$14,INDEX(Equipment!$A$57:$L$69,MATCH($A96,Equipment!$A$57:$A$69,0),10))</f>
        <v>1094.809884452497</v>
      </c>
      <c r="G96" s="22"/>
    </row>
    <row r="97" spans="1:7" ht="18">
      <c r="A97" s="331" t="str">
        <f>IFERROR(INDEX(Equipment!$A$57:$A$68,MATCH(B97,Equipment!$K$57:$K$68,0),1),"")</f>
        <v>ANCO Open Cheese Vat 300 Gal/2580 Lbs</v>
      </c>
      <c r="B97" s="481">
        <f>IF(SMALL(Equipment!$K$57:$K$68,1),SMALL(Equipment!$K$57:$K$68,9),Equipment!$T$13)</f>
        <v>0.21942792764038568</v>
      </c>
      <c r="C97" s="136">
        <f>IF(NOT(ISNUMBER(INDEX(Equipment!$A$57:$L$68,MATCH($A97,Equipment!$A$57:$A$68,0),5))),Equipment!$T$14,INDEX(Equipment!$A$57:$L$68,MATCH($A97,Equipment!$A$57:$A$68,0),5))</f>
        <v>33250</v>
      </c>
      <c r="D97" s="137">
        <f>IF(INDEX(Equipment!$A$57:$L$69,MATCH($A97,Equipment!$A$57:$A$69,0),6)=0,Equipment!$T$14,INDEX(Equipment!$A$57:$L$69,MATCH($A97,Equipment!$A$57:$A$69,0),6))</f>
        <v>0.21942792764038571</v>
      </c>
      <c r="E97" s="143">
        <f>IF(INDEX(Equipment!$A$57:$L$69,MATCH($A97,Equipment!$A$57:$A$69,0),9)=0,Equipment!$T$14,INDEX(Equipment!$A$57:$L$69,MATCH($A97,Equipment!$A$57:$A$69,0),9))</f>
        <v>183.77575178900122</v>
      </c>
      <c r="F97" s="145">
        <f>IF(INDEX(Equipment!$A$57:$L$69,MATCH($A97,Equipment!$A$57:$A$69,0),10)=0,Equipment!$T$14,INDEX(Equipment!$A$57:$L$69,MATCH($A97,Equipment!$A$57:$A$69,0),10))</f>
        <v>767.19083683344957</v>
      </c>
      <c r="G97" s="22"/>
    </row>
    <row r="98" spans="1:7" ht="18">
      <c r="A98" s="331" t="str">
        <f>IFERROR(INDEX(Equipment!$A$57:$A$68,MATCH(B98,Equipment!$K$57:$K$68,0),1),"")</f>
        <v>ANCO Open Cheese Vat 200 Gal/1720 Lbs</v>
      </c>
      <c r="B98" s="481">
        <f>IF(SMALL(Equipment!$K$57:$K$68,1),SMALL(Equipment!$K$57:$K$68,10),Equipment!$T$13)</f>
        <v>0.32914189146057854</v>
      </c>
      <c r="C98" s="136">
        <f>IF(NOT(ISNUMBER(INDEX(Equipment!$A$57:$L$68,MATCH($A98,Equipment!$A$57:$A$68,0),5))),Equipment!$T$14,INDEX(Equipment!$A$57:$L$68,MATCH($A98,Equipment!$A$57:$A$68,0),5))</f>
        <v>23950</v>
      </c>
      <c r="D98" s="137">
        <f>IF(INDEX(Equipment!$A$57:$L$69,MATCH($A98,Equipment!$A$57:$A$69,0),6)=0,Equipment!$T$14,INDEX(Equipment!$A$57:$L$69,MATCH($A98,Equipment!$A$57:$A$69,0),6))</f>
        <v>0.32914189146057854</v>
      </c>
      <c r="E98" s="143">
        <f>IF(INDEX(Equipment!$A$57:$L$69,MATCH($A98,Equipment!$A$57:$A$69,0),9)=0,Equipment!$T$14,INDEX(Equipment!$A$57:$L$69,MATCH($A98,Equipment!$A$57:$A$69,0),9))</f>
        <v>105.2966643365297</v>
      </c>
      <c r="F98" s="145">
        <f>IF(INDEX(Equipment!$A$57:$L$69,MATCH($A98,Equipment!$A$57:$A$69,0),10)=0,Equipment!$T$14,INDEX(Equipment!$A$57:$L$69,MATCH($A98,Equipment!$A$57:$A$69,0),10))</f>
        <v>439.5717892144018</v>
      </c>
      <c r="G98" s="22"/>
    </row>
    <row r="99" spans="1:7" ht="18">
      <c r="A99" s="331" t="str">
        <f>IFERROR(INDEX(Equipment!$A$57:$A$68,MATCH(B99,Equipment!$K$57:$K$68,0),1),"")</f>
        <v>ANCO Open Cheese Vat 100 Gal/860 Lbs</v>
      </c>
      <c r="B99" s="481">
        <f>IF(SMALL(Equipment!$K$57:$K$68,1),SMALL(Equipment!$K$57:$K$68,11),Equipment!$T$13)</f>
        <v>0.65828378292115708</v>
      </c>
      <c r="C99" s="136">
        <f>IF(NOT(ISNUMBER(INDEX(Equipment!$A$57:$L$68,MATCH($A99,Equipment!$A$57:$A$68,0),5))),Equipment!$T$14,INDEX(Equipment!$A$57:$L$68,MATCH($A99,Equipment!$A$57:$A$68,0),5))</f>
        <v>21950</v>
      </c>
      <c r="D99" s="137">
        <f>IF(INDEX(Equipment!$A$57:$L$69,MATCH($A99,Equipment!$A$57:$A$69,0),6)=0,Equipment!$T$14,INDEX(Equipment!$A$57:$L$69,MATCH($A99,Equipment!$A$57:$A$69,0),6))</f>
        <v>0.65828378292115708</v>
      </c>
      <c r="E99" s="143">
        <f>IF(INDEX(Equipment!$A$57:$L$69,MATCH($A99,Equipment!$A$57:$A$69,0),9)=0,Equipment!$T$14,INDEX(Equipment!$A$57:$L$69,MATCH($A99,Equipment!$A$57:$A$69,0),9))</f>
        <v>26.817576884058244</v>
      </c>
      <c r="F99" s="145">
        <f>IF(INDEX(Equipment!$A$57:$L$69,MATCH($A99,Equipment!$A$57:$A$69,0),10)=0,Equipment!$T$14,INDEX(Equipment!$A$57:$L$69,MATCH($A99,Equipment!$A$57:$A$69,0),10))</f>
        <v>111.95274159535425</v>
      </c>
      <c r="G99" s="22"/>
    </row>
    <row r="100" spans="1:7" ht="18">
      <c r="A100" s="331" t="str">
        <f>IFERROR(INDEX(Equipment!$A$57:$A$68,MATCH(B100,Equipment!$K$57:$K$68,0),1),"")</f>
        <v>Quoted Open Cheese Vat</v>
      </c>
      <c r="B100" s="481">
        <f>IF(SMALL(Equipment!$K$57:$K$68,1),SMALL(Equipment!$K$57:$K$68,12),Equipment!$T$13)</f>
        <v>8760</v>
      </c>
      <c r="C100" s="136">
        <f>IF(NOT(ISNUMBER(INDEX(Equipment!$A$57:$L$68,MATCH($A100,Equipment!$A$57:$A$68,0),5))),Equipment!$T$14,INDEX(Equipment!$A$57:$L$68,MATCH($A100,Equipment!$A$57:$A$68,0),5))</f>
        <v>0</v>
      </c>
      <c r="D100" s="137" t="str">
        <f>IF(INDEX(Equipment!$A$57:$L$69,MATCH($A100,Equipment!$A$57:$A$69,0),6)=0,Equipment!$T$14,INDEX(Equipment!$A$57:$L$69,MATCH($A100,Equipment!$A$57:$A$69,0),6))</f>
        <v>Not enough data to calculate</v>
      </c>
      <c r="E100" s="143" t="str">
        <f>IF(INDEX(Equipment!$A$57:$L$69,MATCH($A100,Equipment!$A$57:$A$69,0),9)=0,Equipment!$T$14,INDEX(Equipment!$A$57:$L$69,MATCH($A100,Equipment!$A$57:$A$69,0),9))</f>
        <v>Not enough data to calculate</v>
      </c>
      <c r="F100" s="145" t="str">
        <f>IF(INDEX(Equipment!$A$57:$L$69,MATCH($A100,Equipment!$A$57:$A$69,0),10)=0,Equipment!$T$14,INDEX(Equipment!$A$57:$L$69,MATCH($A100,Equipment!$A$57:$A$69,0),10))</f>
        <v>Not enough data to calculate</v>
      </c>
      <c r="G100" s="22"/>
    </row>
    <row r="101" spans="1:7" ht="18">
      <c r="A101" s="343" t="str">
        <f>Equipment!A69</f>
        <v>Average Open Cheese Vat</v>
      </c>
      <c r="B101" s="482" t="str">
        <f>IF(INDEX(Equipment!$A$57:$L$69,MATCH($A101,Equipment!$A$57:$A$69,0),11)=0,Equipment!$T$14,INDEX(Equipment!$A$57:$L$69,MATCH($A101,Equipment!$A$57:$A$69,0),11))</f>
        <v>Not enough data to calculate</v>
      </c>
      <c r="C101" s="139">
        <f>IF(NOT(ISNUMBER(INDEX(Equipment!$A$57:$L$69,MATCH($A101,Equipment!$A$57:$A$69,0),5))),Equipment!$T$14,INDEX(Equipment!$A$57:$L$69,MATCH($A101,Equipment!$A$57:$A$69,0),5))</f>
        <v>40299.25</v>
      </c>
      <c r="D101" s="140" t="str">
        <f>IF(INDEX(Equipment!$A$57:$L$69,MATCH($A101,Equipment!$A$57:$A$69,0),6)=0,Equipment!$T$14,INDEX(Equipment!$A$57:$L$69,MATCH($A101,Equipment!$A$57:$A$69,0),6))</f>
        <v>Not enough data to calculate</v>
      </c>
      <c r="E101" s="144" t="str">
        <f>IF(INDEX(Equipment!$A$57:$L$69,MATCH($A101,Equipment!$A$57:$A$69,0),9)=0,Equipment!$T$14,INDEX(Equipment!$A$57:$L$69,MATCH($A101,Equipment!$A$57:$A$69,0),9))</f>
        <v>Not enough data to calculate</v>
      </c>
      <c r="F101" s="146" t="str">
        <f>IF(INDEX(Equipment!$A$57:$L$69,MATCH($A101,Equipment!$A$57:$A$69,0),10)=0,Equipment!$T$14,INDEX(Equipment!$A$57:$L$69,MATCH($A101,Equipment!$A$57:$A$69,0),10))</f>
        <v>Not enough data to calculate</v>
      </c>
      <c r="G101" s="22"/>
    </row>
    <row r="102" spans="1:7" ht="18">
      <c r="A102" s="325"/>
      <c r="B102" s="481"/>
      <c r="C102" s="136"/>
      <c r="D102" s="137"/>
      <c r="E102" s="138"/>
      <c r="F102" s="141"/>
      <c r="G102" s="22"/>
    </row>
    <row r="103" spans="1:7" ht="18">
      <c r="A103" s="83"/>
      <c r="B103" s="83"/>
      <c r="C103" s="83"/>
      <c r="D103" s="153"/>
      <c r="E103" s="89"/>
      <c r="F103" s="320"/>
      <c r="G103" s="22"/>
    </row>
    <row r="104" spans="1:7" ht="18">
      <c r="A104" s="597" t="s">
        <v>288</v>
      </c>
      <c r="B104" s="598"/>
      <c r="C104" s="598"/>
      <c r="D104" s="598"/>
      <c r="E104" s="598"/>
      <c r="F104" s="599"/>
      <c r="G104" s="22"/>
    </row>
    <row r="105" spans="1:7" ht="18">
      <c r="A105" s="379"/>
      <c r="B105" s="477" t="s">
        <v>300</v>
      </c>
      <c r="C105" s="477" t="s">
        <v>281</v>
      </c>
      <c r="D105" s="478" t="s">
        <v>267</v>
      </c>
      <c r="E105" s="479" t="s">
        <v>301</v>
      </c>
      <c r="F105" s="480" t="s">
        <v>302</v>
      </c>
      <c r="G105" s="22"/>
    </row>
    <row r="106" spans="1:7" ht="18">
      <c r="A106" s="331" t="str">
        <f>IFERROR(INDEX(Equipment!$A$73:$A$86,MATCH(B106,Equipment!$K$73:$K$86,0),1),"")</f>
        <v>ANCO Open Top Batch Pasteurizer 300 Gal</v>
      </c>
      <c r="B106" s="481">
        <f>IF(SMALL(Equipment!$K$73:$K$86,1),SMALL(Equipment!$K$73:$K$86,1),Equipment!$T$13)</f>
        <v>0.21942792764038568</v>
      </c>
      <c r="C106" s="136">
        <f>IF(NOT(ISNUMBER(INDEX(Equipment!$A$73:$L$86,MATCH($A106,Equipment!$A$73:$A$86,0),5))),Equipment!$T$14,INDEX(Equipment!$A$73:$L$86,MATCH($A106,Equipment!$A$73:$A$86,0),5))</f>
        <v>24075</v>
      </c>
      <c r="D106" s="137">
        <f>IF(INDEX(Equipment!$A$73:$L$86,MATCH($A106,Equipment!$A$73:$A$86,0),6)=0,Equipment!$T$14,INDEX(Equipment!$A$73:$L$86,MATCH($A106,Equipment!$A$73:$A$86,0),6))</f>
        <v>0.21942792764038571</v>
      </c>
      <c r="E106" s="143">
        <f>IF(INDEX(Equipment!$A$73:$L$86,MATCH($A106,Equipment!$A$73:$A$86,0),9)=0,Equipment!$T$14,INDEX(Equipment!$A$73:$L$86,MATCH($A106,Equipment!$A$73:$A$86,0),9))</f>
        <v>183.77575178900122</v>
      </c>
      <c r="F106" s="145">
        <f>IF(INDEX(Equipment!$A$73:$L$86,MATCH($A106,Equipment!$A$73:$A$86,0),10)=0,Equipment!$T$14,INDEX(Equipment!$A$73:$L$86,MATCH($A106,Equipment!$A$73:$A$86,0),10))</f>
        <v>767.19083683344957</v>
      </c>
      <c r="G106" s="22"/>
    </row>
    <row r="107" spans="1:7" ht="18">
      <c r="A107" s="331" t="str">
        <f>IFERROR(INDEX(Equipment!$A$73:$A$86,MATCH(B107,Equipment!$K$73:$K$86,0),1),"")</f>
        <v>ANCO Open Top Batch Pasteurizer 300 Gal with PMO accessories</v>
      </c>
      <c r="B107" s="481">
        <f>IF(SMALL(Equipment!$K$73:$K$86,1),SMALL(Equipment!$K$73:$K$86,2),Equipment!$T$13)</f>
        <v>0.21942801097371903</v>
      </c>
      <c r="C107" s="136">
        <f>IF(NOT(ISNUMBER(INDEX(Equipment!$A$73:$L$86,MATCH($A107,Equipment!$A$73:$A$86,0),5))),Equipment!$T$14,INDEX(Equipment!$A$73:$L$86,MATCH($A107,Equipment!$A$73:$A$86,0),5))</f>
        <v>33175</v>
      </c>
      <c r="D107" s="137">
        <f>IF(INDEX(Equipment!$A$73:$L$86,MATCH($A107,Equipment!$A$73:$A$86,0),6)=0,Equipment!$T$14,INDEX(Equipment!$A$73:$L$86,MATCH($A107,Equipment!$A$73:$A$86,0),6))</f>
        <v>0.21942792764038571</v>
      </c>
      <c r="E107" s="143">
        <f>IF(INDEX(Equipment!$A$73:$L$86,MATCH($A107,Equipment!$A$73:$A$86,0),9)=0,Equipment!$T$14,INDEX(Equipment!$A$73:$L$86,MATCH($A107,Equipment!$A$73:$A$86,0),9))</f>
        <v>183.77575178900122</v>
      </c>
      <c r="F107" s="145">
        <f>IF(INDEX(Equipment!$A$73:$L$86,MATCH($A107,Equipment!$A$73:$A$86,0),10)=0,Equipment!$T$14,INDEX(Equipment!$A$73:$L$86,MATCH($A107,Equipment!$A$73:$A$86,0),10))</f>
        <v>767.19083683344957</v>
      </c>
      <c r="G107" s="22"/>
    </row>
    <row r="108" spans="1:7" ht="18">
      <c r="A108" s="331" t="str">
        <f>IFERROR(INDEX(Equipment!$A$73:$A$86,MATCH(B108,Equipment!$K$73:$K$86,0),1),"")</f>
        <v>ANCO Open Top Batch Pasteurizer 250 Gal</v>
      </c>
      <c r="B108" s="481">
        <f>IF(SMALL(Equipment!$K$73:$K$86,1),SMALL(Equipment!$K$73:$K$86,3),Equipment!$T$13)</f>
        <v>0.26331351316846285</v>
      </c>
      <c r="C108" s="136">
        <f>IF(NOT(ISNUMBER(INDEX(Equipment!$A$73:$L$86,MATCH($A108,Equipment!$A$73:$A$86,0),5))),Equipment!$T$14,INDEX(Equipment!$A$73:$L$86,MATCH($A108,Equipment!$A$73:$A$86,0),5))</f>
        <v>22000</v>
      </c>
      <c r="D108" s="137">
        <f>IF(INDEX(Equipment!$A$73:$L$86,MATCH($A108,Equipment!$A$73:$A$86,0),6)=0,Equipment!$T$14,INDEX(Equipment!$A$73:$L$86,MATCH($A108,Equipment!$A$73:$A$86,0),6))</f>
        <v>0.26331351316846285</v>
      </c>
      <c r="E108" s="143">
        <f>IF(INDEX(Equipment!$A$73:$L$86,MATCH($A108,Equipment!$A$73:$A$86,0),9)=0,Equipment!$T$14,INDEX(Equipment!$A$73:$L$86,MATCH($A108,Equipment!$A$73:$A$86,0),9))</f>
        <v>144.53620806276547</v>
      </c>
      <c r="F108" s="145">
        <f>IF(INDEX(Equipment!$A$73:$L$86,MATCH($A108,Equipment!$A$73:$A$86,0),10)=0,Equipment!$T$14,INDEX(Equipment!$A$73:$L$86,MATCH($A108,Equipment!$A$73:$A$86,0),10))</f>
        <v>603.38131302392571</v>
      </c>
      <c r="G108" s="22"/>
    </row>
    <row r="109" spans="1:7" ht="18">
      <c r="A109" s="331" t="str">
        <f>IFERROR(INDEX(Equipment!$A$73:$A$86,MATCH(B109,Equipment!$K$73:$K$86,0),1),"")</f>
        <v>ANCO Open Top Batch Pasteurizer 250 Gal with PMO accessories</v>
      </c>
      <c r="B109" s="481">
        <f>IF(SMALL(Equipment!$K$73:$K$86,1),SMALL(Equipment!$K$73:$K$86,4),Equipment!$T$13)</f>
        <v>0.2633135965017962</v>
      </c>
      <c r="C109" s="136">
        <f>IF(NOT(ISNUMBER(INDEX(Equipment!$A$73:$L$86,MATCH($A109,Equipment!$A$73:$A$86,0),5))),Equipment!$T$14,INDEX(Equipment!$A$73:$L$86,MATCH($A109,Equipment!$A$73:$A$86,0),5))</f>
        <v>31100</v>
      </c>
      <c r="D109" s="137">
        <f>IF(INDEX(Equipment!$A$73:$L$86,MATCH($A109,Equipment!$A$73:$A$86,0),6)=0,Equipment!$T$14,INDEX(Equipment!$A$73:$L$86,MATCH($A109,Equipment!$A$73:$A$86,0),6))</f>
        <v>0.26331351316846285</v>
      </c>
      <c r="E109" s="143">
        <f>IF(INDEX(Equipment!$A$73:$L$86,MATCH($A109,Equipment!$A$73:$A$86,0),9)=0,Equipment!$T$14,INDEX(Equipment!$A$73:$L$86,MATCH($A109,Equipment!$A$73:$A$86,0),9))</f>
        <v>144.53620806276547</v>
      </c>
      <c r="F109" s="145">
        <f>IF(INDEX(Equipment!$A$73:$L$86,MATCH($A109,Equipment!$A$73:$A$86,0),10)=0,Equipment!$T$14,INDEX(Equipment!$A$73:$L$86,MATCH($A109,Equipment!$A$73:$A$86,0),10))</f>
        <v>603.38131302392571</v>
      </c>
      <c r="G109" s="22"/>
    </row>
    <row r="110" spans="1:7" ht="18">
      <c r="A110" s="331" t="str">
        <f>IFERROR(INDEX(Equipment!$A$73:$A$86,MATCH(B110,Equipment!$K$73:$K$86,0),1),"")</f>
        <v>ANCO Open Top Batch Pasteurizer 200 Gal</v>
      </c>
      <c r="B110" s="481">
        <f>IF(SMALL(Equipment!$K$73:$K$86,1),SMALL(Equipment!$K$73:$K$86,5),Equipment!$T$13)</f>
        <v>0.32914189146057854</v>
      </c>
      <c r="C110" s="136">
        <f>IF(NOT(ISNUMBER(INDEX(Equipment!$A$73:$L$86,MATCH($A110,Equipment!$A$73:$A$86,0),5))),Equipment!$T$14,INDEX(Equipment!$A$73:$L$86,MATCH($A110,Equipment!$A$73:$A$86,0),5))</f>
        <v>20575</v>
      </c>
      <c r="D110" s="137">
        <f>IF(INDEX(Equipment!$A$73:$L$86,MATCH($A110,Equipment!$A$73:$A$86,0),6)=0,Equipment!$T$14,INDEX(Equipment!$A$73:$L$86,MATCH($A110,Equipment!$A$73:$A$86,0),6))</f>
        <v>0.32914189146057854</v>
      </c>
      <c r="E110" s="143">
        <f>IF(INDEX(Equipment!$A$73:$L$86,MATCH($A110,Equipment!$A$73:$A$86,0),9)=0,Equipment!$T$14,INDEX(Equipment!$A$73:$L$86,MATCH($A110,Equipment!$A$73:$A$86,0),9))</f>
        <v>105.2966643365297</v>
      </c>
      <c r="F110" s="145">
        <f>IF(INDEX(Equipment!$A$73:$L$86,MATCH($A110,Equipment!$A$73:$A$86,0),10)=0,Equipment!$T$14,INDEX(Equipment!$A$73:$L$86,MATCH($A110,Equipment!$A$73:$A$86,0),10))</f>
        <v>439.5717892144018</v>
      </c>
      <c r="G110" s="22"/>
    </row>
    <row r="111" spans="1:7" ht="18">
      <c r="A111" s="331" t="str">
        <f>IFERROR(INDEX(Equipment!$A$73:$A$86,MATCH(B111,Equipment!$K$73:$K$86,0),1),"")</f>
        <v>ANCO Open Top Batch Pasteurizer 200 Gal with PMO accessories</v>
      </c>
      <c r="B111" s="481">
        <f>IF(SMALL(Equipment!$K$73:$K$86,1),SMALL(Equipment!$K$73:$K$86,6),Equipment!$T$13)</f>
        <v>0.32914197479391188</v>
      </c>
      <c r="C111" s="136">
        <f>IF(NOT(ISNUMBER(INDEX(Equipment!$A$73:$L$86,MATCH($A111,Equipment!$A$73:$A$86,0),5))),Equipment!$T$14,INDEX(Equipment!$A$73:$L$86,MATCH($A111,Equipment!$A$73:$A$86,0),5))</f>
        <v>29675</v>
      </c>
      <c r="D111" s="137">
        <f>IF(INDEX(Equipment!$A$73:$L$86,MATCH($A111,Equipment!$A$73:$A$86,0),6)=0,Equipment!$T$14,INDEX(Equipment!$A$73:$L$86,MATCH($A111,Equipment!$A$73:$A$86,0),6))</f>
        <v>0.32914189146057854</v>
      </c>
      <c r="E111" s="143">
        <f>IF(INDEX(Equipment!$A$73:$L$86,MATCH($A111,Equipment!$A$73:$A$86,0),9)=0,Equipment!$T$14,INDEX(Equipment!$A$73:$L$86,MATCH($A111,Equipment!$A$73:$A$86,0),9))</f>
        <v>105.2966643365297</v>
      </c>
      <c r="F111" s="145">
        <f>IF(INDEX(Equipment!$A$73:$L$86,MATCH($A111,Equipment!$A$73:$A$86,0),10)=0,Equipment!$T$14,INDEX(Equipment!$A$73:$L$86,MATCH($A111,Equipment!$A$73:$A$86,0),10))</f>
        <v>439.5717892144018</v>
      </c>
      <c r="G111" s="22"/>
    </row>
    <row r="112" spans="1:7" ht="18">
      <c r="A112" s="331" t="str">
        <f>IFERROR(INDEX(Equipment!$A$73:$A$86,MATCH(B112,Equipment!$K$73:$K$86,0),1),"")</f>
        <v>ANCO Open Top Batch Pasteurizer 150 Gal</v>
      </c>
      <c r="B112" s="481">
        <f>IF(SMALL(Equipment!$K$73:$K$86,1),SMALL(Equipment!$K$73:$K$86,7),Equipment!$T$13)</f>
        <v>0.43885585528077137</v>
      </c>
      <c r="C112" s="136">
        <f>IF(NOT(ISNUMBER(INDEX(Equipment!$A$73:$L$86,MATCH($A112,Equipment!$A$73:$A$86,0),5))),Equipment!$T$14,INDEX(Equipment!$A$73:$L$86,MATCH($A112,Equipment!$A$73:$A$86,0),5))</f>
        <v>19575</v>
      </c>
      <c r="D112" s="137">
        <f>IF(INDEX(Equipment!$A$73:$L$86,MATCH($A112,Equipment!$A$73:$A$86,0),6)=0,Equipment!$T$14,INDEX(Equipment!$A$73:$L$86,MATCH($A112,Equipment!$A$73:$A$86,0),6))</f>
        <v>0.43885585528077142</v>
      </c>
      <c r="E112" s="143">
        <f>IF(INDEX(Equipment!$A$73:$L$86,MATCH($A112,Equipment!$A$73:$A$86,0),9)=0,Equipment!$T$14,INDEX(Equipment!$A$73:$L$86,MATCH($A112,Equipment!$A$73:$A$86,0),9))</f>
        <v>66.057120610293978</v>
      </c>
      <c r="F112" s="145">
        <f>IF(INDEX(Equipment!$A$73:$L$86,MATCH($A112,Equipment!$A$73:$A$86,0),10)=0,Equipment!$T$14,INDEX(Equipment!$A$73:$L$86,MATCH($A112,Equipment!$A$73:$A$86,0),10))</f>
        <v>275.76226540487806</v>
      </c>
      <c r="G112" s="22"/>
    </row>
    <row r="113" spans="1:7" ht="18">
      <c r="A113" s="331" t="str">
        <f>IFERROR(INDEX(Equipment!$A$73:$A$86,MATCH(B113,Equipment!$K$73:$K$86,0),1),"")</f>
        <v>ANCO Open Top Batch Pasteurizer 150 Gal with PMO accessories</v>
      </c>
      <c r="B113" s="481">
        <f>IF(SMALL(Equipment!$K$73:$K$86,1),SMALL(Equipment!$K$73:$K$86,8),Equipment!$T$13)</f>
        <v>0.43885593861410471</v>
      </c>
      <c r="C113" s="136">
        <f>IF(NOT(ISNUMBER(INDEX(Equipment!$A$73:$L$86,MATCH($A113,Equipment!$A$73:$A$86,0),5))),Equipment!$T$14,INDEX(Equipment!$A$73:$L$86,MATCH($A113,Equipment!$A$73:$A$86,0),5))</f>
        <v>28675</v>
      </c>
      <c r="D113" s="137">
        <f>IF(INDEX(Equipment!$A$73:$L$86,MATCH($A113,Equipment!$A$73:$A$86,0),6)=0,Equipment!$T$14,INDEX(Equipment!$A$73:$L$86,MATCH($A113,Equipment!$A$73:$A$86,0),6))</f>
        <v>0.43885585528077142</v>
      </c>
      <c r="E113" s="143">
        <f>IF(INDEX(Equipment!$A$73:$L$86,MATCH($A113,Equipment!$A$73:$A$86,0),9)=0,Equipment!$T$14,INDEX(Equipment!$A$73:$L$86,MATCH($A113,Equipment!$A$73:$A$86,0),9))</f>
        <v>66.057120610293978</v>
      </c>
      <c r="F113" s="145">
        <f>IF(INDEX(Equipment!$A$73:$L$86,MATCH($A113,Equipment!$A$73:$A$86,0),10)=0,Equipment!$T$14,INDEX(Equipment!$A$73:$L$86,MATCH($A113,Equipment!$A$73:$A$86,0),10))</f>
        <v>275.76226540487806</v>
      </c>
      <c r="G113" s="22"/>
    </row>
    <row r="114" spans="1:7" ht="18">
      <c r="A114" s="331" t="str">
        <f>IFERROR(INDEX(Equipment!$A$73:$A$86,MATCH(B114,Equipment!$K$73:$K$86,0),1),"")</f>
        <v>ANCO Open Top Batch Pasteurizer 100 Gal</v>
      </c>
      <c r="B114" s="481">
        <f>IF(SMALL(Equipment!$K$73:$K$86,1),SMALL(Equipment!$K$73:$K$86,9),Equipment!$T$13)</f>
        <v>0.65828378292115708</v>
      </c>
      <c r="C114" s="136">
        <f>IF(NOT(ISNUMBER(INDEX(Equipment!$A$73:$L$86,MATCH($A114,Equipment!$A$73:$A$86,0),5))),Equipment!$T$14,INDEX(Equipment!$A$73:$L$86,MATCH($A114,Equipment!$A$73:$A$86,0),5))</f>
        <v>18575</v>
      </c>
      <c r="D114" s="137">
        <f>IF(INDEX(Equipment!$A$73:$L$86,MATCH($A114,Equipment!$A$73:$A$86,0),6)=0,Equipment!$T$14,INDEX(Equipment!$A$73:$L$86,MATCH($A114,Equipment!$A$73:$A$86,0),6))</f>
        <v>0.65828378292115708</v>
      </c>
      <c r="E114" s="143">
        <f>IF(INDEX(Equipment!$A$73:$L$86,MATCH($A114,Equipment!$A$73:$A$86,0),9)=0,Equipment!$T$14,INDEX(Equipment!$A$73:$L$86,MATCH($A114,Equipment!$A$73:$A$86,0),9))</f>
        <v>26.817576884058244</v>
      </c>
      <c r="F114" s="145">
        <f>IF(INDEX(Equipment!$A$73:$L$86,MATCH($A114,Equipment!$A$73:$A$86,0),10)=0,Equipment!$T$14,INDEX(Equipment!$A$73:$L$86,MATCH($A114,Equipment!$A$73:$A$86,0),10))</f>
        <v>111.95274159535425</v>
      </c>
      <c r="G114" s="22"/>
    </row>
    <row r="115" spans="1:7" ht="18">
      <c r="A115" s="331" t="str">
        <f>IFERROR(INDEX(Equipment!$A$73:$A$86,MATCH(B115,Equipment!$K$73:$K$86,0),1),"")</f>
        <v>ANCO Open Top Batch Pasteurizer 100 Gal with PMO accessories</v>
      </c>
      <c r="B115" s="481">
        <f>IF(SMALL(Equipment!$K$73:$K$86,1),SMALL(Equipment!$K$73:$K$86,10),Equipment!$T$13)</f>
        <v>0.65828386625449042</v>
      </c>
      <c r="C115" s="136">
        <f>IF(NOT(ISNUMBER(INDEX(Equipment!$A$73:$L$86,MATCH($A115,Equipment!$A$73:$A$86,0),5))),Equipment!$T$14,INDEX(Equipment!$A$73:$L$86,MATCH($A115,Equipment!$A$73:$A$86,0),5))</f>
        <v>27675</v>
      </c>
      <c r="D115" s="137">
        <f>IF(INDEX(Equipment!$A$73:$L$86,MATCH($A115,Equipment!$A$73:$A$86,0),6)=0,Equipment!$T$14,INDEX(Equipment!$A$73:$L$86,MATCH($A115,Equipment!$A$73:$A$86,0),6))</f>
        <v>0.65828378292115708</v>
      </c>
      <c r="E115" s="143">
        <f>IF(INDEX(Equipment!$A$73:$L$86,MATCH($A115,Equipment!$A$73:$A$86,0),9)=0,Equipment!$T$14,INDEX(Equipment!$A$73:$L$86,MATCH($A115,Equipment!$A$73:$A$86,0),9))</f>
        <v>26.817576884058244</v>
      </c>
      <c r="F115" s="145">
        <f>IF(INDEX(Equipment!$A$73:$L$86,MATCH($A115,Equipment!$A$73:$A$86,0),10)=0,Equipment!$T$14,INDEX(Equipment!$A$73:$L$86,MATCH($A115,Equipment!$A$73:$A$86,0),10))</f>
        <v>111.95274159535425</v>
      </c>
      <c r="G115" s="22"/>
    </row>
    <row r="116" spans="1:7" ht="18">
      <c r="A116" s="331" t="str">
        <f>IFERROR(INDEX(Equipment!$A$73:$A$86,MATCH(B116,Equipment!$K$73:$K$86,0),1),"")</f>
        <v>ANCO Open Top Batch Pasteurizer 50 Gal</v>
      </c>
      <c r="B116" s="481">
        <f>IF(SMALL(Equipment!$K$73:$K$86,1),SMALL(Equipment!$K$73:$K$86,11),Equipment!$T$13)</f>
        <v>1.3165675658423142</v>
      </c>
      <c r="C116" s="136">
        <f>IF(NOT(ISNUMBER(INDEX(Equipment!$A$73:$L$86,MATCH($A116,Equipment!$A$73:$A$86,0),5))),Equipment!$T$14,INDEX(Equipment!$A$73:$L$86,MATCH($A116,Equipment!$A$73:$A$86,0),5))</f>
        <v>16575</v>
      </c>
      <c r="D116" s="137">
        <f>IF(INDEX(Equipment!$A$73:$L$86,MATCH($A116,Equipment!$A$73:$A$86,0),6)=0,Equipment!$T$14,INDEX(Equipment!$A$73:$L$86,MATCH($A116,Equipment!$A$73:$A$86,0),6))</f>
        <v>1.3165675658423142</v>
      </c>
      <c r="E116" s="143">
        <f>IF(INDEX(Equipment!$A$73:$L$86,MATCH($A116,Equipment!$A$73:$A$86,0),9)=0,Equipment!$T$14,INDEX(Equipment!$A$73:$L$86,MATCH($A116,Equipment!$A$73:$A$86,0),9))</f>
        <v>-12.421966842177499</v>
      </c>
      <c r="F116" s="145">
        <f>IF(INDEX(Equipment!$A$73:$L$86,MATCH($A116,Equipment!$A$73:$A$86,0),10)=0,Equipment!$T$14,INDEX(Equipment!$A$73:$L$86,MATCH($A116,Equipment!$A$73:$A$86,0),10))</f>
        <v>-51.856782214169556</v>
      </c>
      <c r="G116" s="22"/>
    </row>
    <row r="117" spans="1:7" ht="18">
      <c r="A117" s="331" t="str">
        <f>IFERROR(INDEX(Equipment!$A$73:$A$86,MATCH(B117,Equipment!$K$73:$K$86,0),1),"")</f>
        <v>ANCO Open Top Batch Pasteurizer 50 Gal with PMO accessories</v>
      </c>
      <c r="B117" s="481">
        <f>IF(SMALL(Equipment!$K$73:$K$86,1),SMALL(Equipment!$K$73:$K$86,12),Equipment!$T$13)</f>
        <v>1.3165676491756475</v>
      </c>
      <c r="C117" s="136">
        <f>IF(NOT(ISNUMBER(INDEX(Equipment!$A$73:$L$86,MATCH($A117,Equipment!$A$73:$A$86,0),5))),Equipment!$T$14,INDEX(Equipment!$A$73:$L$86,MATCH($A117,Equipment!$A$73:$A$86,0),5))</f>
        <v>25675</v>
      </c>
      <c r="D117" s="137">
        <f>IF(INDEX(Equipment!$A$73:$L$86,MATCH($A117,Equipment!$A$73:$A$86,0),6)=0,Equipment!$T$14,INDEX(Equipment!$A$73:$L$86,MATCH($A117,Equipment!$A$73:$A$86,0),6))</f>
        <v>1.3165675658423142</v>
      </c>
      <c r="E117" s="143">
        <f>IF(INDEX(Equipment!$A$73:$L$86,MATCH($A117,Equipment!$A$73:$A$86,0),9)=0,Equipment!$T$14,INDEX(Equipment!$A$73:$L$86,MATCH($A117,Equipment!$A$73:$A$86,0),9))</f>
        <v>-12.421966842177499</v>
      </c>
      <c r="F117" s="145">
        <f>IF(INDEX(Equipment!$A$73:$L$86,MATCH($A117,Equipment!$A$73:$A$86,0),10)=0,Equipment!$T$14,INDEX(Equipment!$A$73:$L$86,MATCH($A117,Equipment!$A$73:$A$86,0),10))</f>
        <v>-51.856782214169556</v>
      </c>
      <c r="G117" s="22"/>
    </row>
    <row r="118" spans="1:7" ht="18">
      <c r="A118" s="331" t="str">
        <f>IFERROR(INDEX(Equipment!$A$73:$A$86,MATCH(B118,Equipment!$K$73:$K$86,0),1),"")</f>
        <v>Quoted Batch Pasteurizer Vat Combo</v>
      </c>
      <c r="B118" s="481">
        <f>IF(SMALL(Equipment!$K$73:$K$86,1),SMALL(Equipment!$K$73:$K$86,13),Equipment!$T$13)</f>
        <v>8760</v>
      </c>
      <c r="C118" s="136">
        <f>IF(NOT(ISNUMBER(INDEX(Equipment!$A$73:$L$86,MATCH($A118,Equipment!$A$73:$A$86,0),5))),Equipment!$T$14,INDEX(Equipment!$A$73:$L$86,MATCH($A118,Equipment!$A$73:$A$86,0),5))</f>
        <v>0</v>
      </c>
      <c r="D118" s="137" t="str">
        <f>IF(INDEX(Equipment!$A$73:$L$86,MATCH($A118,Equipment!$A$73:$A$86,0),6)=0,Equipment!$T$14,INDEX(Equipment!$A$73:$L$86,MATCH($A118,Equipment!$A$73:$A$86,0),6))</f>
        <v>Not enough data to calculate</v>
      </c>
      <c r="E118" s="143" t="str">
        <f>IF(INDEX(Equipment!$A$73:$L$86,MATCH($A118,Equipment!$A$73:$A$86,0),9)=0,Equipment!$T$14,INDEX(Equipment!$A$73:$L$86,MATCH($A118,Equipment!$A$73:$A$86,0),9))</f>
        <v>Not enough data to calculate</v>
      </c>
      <c r="F118" s="145" t="str">
        <f>IF(INDEX(Equipment!$A$73:$L$86,MATCH($A118,Equipment!$A$73:$A$86,0),10)=0,Equipment!$T$14,INDEX(Equipment!$A$73:$L$86,MATCH($A118,Equipment!$A$73:$A$86,0),10))</f>
        <v>Not enough data to calculate</v>
      </c>
      <c r="G118" s="22"/>
    </row>
    <row r="119" spans="1:7" ht="18">
      <c r="A119" s="343" t="str">
        <f>Equipment!A86</f>
        <v>Average Batch Pasteurizer Vat Combo</v>
      </c>
      <c r="B119" s="482" t="str">
        <f>IF(INDEX(Equipment!$A$73:$L$86,MATCH($A119,Equipment!$A$73:$A$86,0),11)=0,Equipment!$T$14,INDEX(Equipment!$A$73:$L$86,MATCH($A119,Equipment!$A$73:$A$86,0),11))</f>
        <v>Not enough data to calculate</v>
      </c>
      <c r="C119" s="139">
        <f>IF(NOT(ISNUMBER(INDEX(Equipment!$A$73:$L$86,MATCH($A119,Equipment!$A$73:$A$86,0),5))),Equipment!$T$14,INDEX(Equipment!$A$73:$L$86,MATCH($A119,Equipment!$A$73:$A$86,0),5))</f>
        <v>31911.07</v>
      </c>
      <c r="D119" s="140" t="str">
        <f>IF(INDEX(Equipment!$A$73:$L$86,MATCH($A119,Equipment!$A$73:$A$86,0),6)=0,Equipment!$T$14,INDEX(Equipment!$A$73:$L$86,MATCH($A119,Equipment!$A$73:$A$86,0),6))</f>
        <v>Not enough data to calculate</v>
      </c>
      <c r="E119" s="144" t="str">
        <f>IF(INDEX(Equipment!$A$73:$L$86,MATCH($A119,Equipment!$A$73:$A$86,0),9)=0,Equipment!$T$14,INDEX(Equipment!$A$73:$L$86,MATCH($A119,Equipment!$A$73:$A$86,0),9))</f>
        <v>Not enough data to calculate</v>
      </c>
      <c r="F119" s="146" t="str">
        <f>IF(INDEX(Equipment!$A$73:$L$86,MATCH($A119,Equipment!$A$73:$A$86,0),10)=0,Equipment!$T$14,INDEX(Equipment!$A$73:$L$86,MATCH($A119,Equipment!$A$73:$A$86,0),10))</f>
        <v>Not enough data to calculate</v>
      </c>
      <c r="G119" s="22"/>
    </row>
    <row r="120" spans="1:7" ht="18">
      <c r="A120" s="325"/>
      <c r="B120" s="481"/>
      <c r="C120" s="136"/>
      <c r="D120" s="137"/>
      <c r="E120" s="138"/>
      <c r="F120" s="141"/>
      <c r="G120" s="22"/>
    </row>
    <row r="121" spans="1:7" ht="18">
      <c r="A121" s="83"/>
      <c r="B121" s="83"/>
      <c r="C121" s="83"/>
      <c r="D121" s="153"/>
      <c r="E121" s="89"/>
      <c r="F121" s="320"/>
      <c r="G121" s="22"/>
    </row>
    <row r="122" spans="1:7" ht="18">
      <c r="A122" s="516" t="s">
        <v>145</v>
      </c>
      <c r="B122" s="596"/>
      <c r="C122" s="596"/>
      <c r="D122" s="596"/>
      <c r="E122" s="596"/>
      <c r="F122" s="517"/>
      <c r="G122" s="22"/>
    </row>
    <row r="123" spans="1:7" ht="18">
      <c r="A123" s="379"/>
      <c r="B123" s="477" t="s">
        <v>300</v>
      </c>
      <c r="C123" s="477" t="s">
        <v>281</v>
      </c>
      <c r="D123" s="478" t="s">
        <v>267</v>
      </c>
      <c r="E123" s="479" t="s">
        <v>301</v>
      </c>
      <c r="F123" s="480" t="s">
        <v>302</v>
      </c>
      <c r="G123" s="22"/>
    </row>
    <row r="124" spans="1:7" ht="18">
      <c r="A124" s="331" t="str">
        <f>IFERROR(INDEX(Equipment!$A$22:$A$38,MATCH(B124,Equipment!$K$22:$K$38,0),1),"")</f>
        <v>ANCO Equipment (2000 gal. capacity)</v>
      </c>
      <c r="B124" s="481">
        <f>IF(SMALL(Equipment!$K$22:$K$38,1),SMALL(Equipment!$K$22:$K$38,1),Equipment!$T$13)</f>
        <v>3.2914189146057857E-2</v>
      </c>
      <c r="C124" s="136">
        <f>IF(NOT(ISNUMBER(INDEX(Equipment!$A$22:$L$39,MATCH($A124,Equipment!$A$22:$A$38,0),5))),Equipment!$T$14,INDEX(Equipment!$A$22:$L$39,MATCH($A124,Equipment!$A$22:$A$38,0),5))</f>
        <v>56000</v>
      </c>
      <c r="D124" s="137">
        <f>IF(INDEX(Equipment!$A$22:$L$39,MATCH($A124,Equipment!$A$22:$A$39,0),6)=0,Equipment!$T$14,INDEX(Equipment!$A$22:$L$39,MATCH($A124,Equipment!$A$22:$A$39,0),6))</f>
        <v>3.2914189146057857E-2</v>
      </c>
      <c r="E124" s="143">
        <f>IF(INDEX(Equipment!$A$22:$L$39,MATCH($A124,Equipment!$A$22:$A$39,0),9)=0,Equipment!$T$14,INDEX(Equipment!$A$22:$L$39,MATCH($A124,Equipment!$A$22:$A$39,0),9))</f>
        <v>758.96011924050822</v>
      </c>
      <c r="F124" s="145">
        <f>IF(INDEX(Equipment!$A$22:$L$39,MATCH($A124,Equipment!$A$22:$A$39,0),10)=0,Equipment!$T$14,INDEX(Equipment!$A$22:$L$39,MATCH($A124,Equipment!$A$22:$A$39,0),10))</f>
        <v>3168.3573231786299</v>
      </c>
      <c r="G124" s="22"/>
    </row>
    <row r="125" spans="1:7" ht="18">
      <c r="A125" s="331" t="str">
        <f>IFERROR(INDEX(Equipment!$A$22:$A$38,MATCH(B125,Equipment!$K$22:$K$38,0),1),"")</f>
        <v>ANCO Equipment (1500 gal. capacity)</v>
      </c>
      <c r="B125" s="481">
        <f>IF(SMALL(Equipment!$K$22:$K$38,1),SMALL(Equipment!$K$22:$K$38,2),Equipment!$T$13)</f>
        <v>4.3885585528077142E-2</v>
      </c>
      <c r="C125" s="136">
        <f>IF(NOT(ISNUMBER(INDEX(Equipment!$A$22:$L$39,MATCH($A125,Equipment!$A$22:$A$38,0),5))),Equipment!$T$14,INDEX(Equipment!$A$22:$L$39,MATCH($A125,Equipment!$A$22:$A$38,0),5))</f>
        <v>49500</v>
      </c>
      <c r="D125" s="137">
        <f>IF(INDEX(Equipment!$A$22:$L$39,MATCH($A125,Equipment!$A$22:$A$39,0),6)=0,Equipment!$T$14,INDEX(Equipment!$A$22:$L$39,MATCH($A125,Equipment!$A$22:$A$39,0),6))</f>
        <v>4.3885585528077142E-2</v>
      </c>
      <c r="E125" s="143">
        <f>IF(INDEX(Equipment!$A$22:$L$39,MATCH($A125,Equipment!$A$22:$A$39,0),9)=0,Equipment!$T$14,INDEX(Equipment!$A$22:$L$39,MATCH($A125,Equipment!$A$22:$A$39,0),9))</f>
        <v>562.76240060932957</v>
      </c>
      <c r="F125" s="145">
        <f>IF(INDEX(Equipment!$A$22:$L$39,MATCH($A125,Equipment!$A$22:$A$39,0),10)=0,Equipment!$T$14,INDEX(Equipment!$A$22:$L$39,MATCH($A125,Equipment!$A$22:$A$39,0),10))</f>
        <v>2349.3097041310107</v>
      </c>
      <c r="G125" s="22"/>
    </row>
    <row r="126" spans="1:7" ht="18">
      <c r="A126" s="331" t="str">
        <f>IFERROR(INDEX(Equipment!$A$22:$A$38,MATCH(B126,Equipment!$K$22:$K$38,0),1),"")</f>
        <v>ANCO Equipment (1200 gal. capacity)</v>
      </c>
      <c r="B126" s="481">
        <f>IF(SMALL(Equipment!$K$22:$K$38,1),SMALL(Equipment!$K$22:$K$38,3),Equipment!$T$13)</f>
        <v>5.4856981910096421E-2</v>
      </c>
      <c r="C126" s="136">
        <f>IF(NOT(ISNUMBER(INDEX(Equipment!$A$22:$L$39,MATCH($A126,Equipment!$A$22:$A$38,0),5))),Equipment!$T$14,INDEX(Equipment!$A$22:$L$39,MATCH($A126,Equipment!$A$22:$A$38,0),5))</f>
        <v>45500</v>
      </c>
      <c r="D126" s="137">
        <f>IF(INDEX(Equipment!$A$22:$L$39,MATCH($A126,Equipment!$A$22:$A$39,0),6)=0,Equipment!$T$14,INDEX(Equipment!$A$22:$L$39,MATCH($A126,Equipment!$A$22:$A$39,0),6))</f>
        <v>5.4856981910096428E-2</v>
      </c>
      <c r="E126" s="143">
        <f>IF(INDEX(Equipment!$A$22:$L$39,MATCH($A126,Equipment!$A$22:$A$39,0),9)=0,Equipment!$T$14,INDEX(Equipment!$A$22:$L$39,MATCH($A126,Equipment!$A$22:$A$39,0),9))</f>
        <v>445.04376943062221</v>
      </c>
      <c r="F126" s="145">
        <f>IF(INDEX(Equipment!$A$22:$L$39,MATCH($A126,Equipment!$A$22:$A$39,0),10)=0,Equipment!$T$14,INDEX(Equipment!$A$22:$L$39,MATCH($A126,Equipment!$A$22:$A$39,0),10))</f>
        <v>1857.8811327024389</v>
      </c>
      <c r="G126" s="22"/>
    </row>
    <row r="127" spans="1:7" ht="18">
      <c r="A127" s="331" t="str">
        <f>IFERROR(INDEX(Equipment!$A$22:$A$38,MATCH(B127,Equipment!$K$22:$K$38,0),1),"")</f>
        <v>ANCO Equipment (1000 gal. capacity)</v>
      </c>
      <c r="B127" s="481">
        <f>IF(SMALL(Equipment!$K$22:$K$38,1),SMALL(Equipment!$K$22:$K$38,4),Equipment!$T$13)</f>
        <v>6.5828378292115713E-2</v>
      </c>
      <c r="C127" s="136">
        <f>IF(NOT(ISNUMBER(INDEX(Equipment!$A$22:$L$39,MATCH($A127,Equipment!$A$22:$A$38,0),5))),Equipment!$T$14,INDEX(Equipment!$A$22:$L$39,MATCH($A127,Equipment!$A$22:$A$38,0),5))</f>
        <v>39500</v>
      </c>
      <c r="D127" s="137">
        <f>IF(INDEX(Equipment!$A$22:$L$39,MATCH($A127,Equipment!$A$22:$A$39,0),6)=0,Equipment!$T$14,INDEX(Equipment!$A$22:$L$39,MATCH($A127,Equipment!$A$22:$A$39,0),6))</f>
        <v>6.5828378292115713E-2</v>
      </c>
      <c r="E127" s="143">
        <f>IF(INDEX(Equipment!$A$22:$L$39,MATCH($A127,Equipment!$A$22:$A$39,0),9)=0,Equipment!$T$14,INDEX(Equipment!$A$22:$L$39,MATCH($A127,Equipment!$A$22:$A$39,0),9))</f>
        <v>366.56468197815076</v>
      </c>
      <c r="F127" s="145">
        <f>IF(INDEX(Equipment!$A$22:$L$39,MATCH($A127,Equipment!$A$22:$A$39,0),10)=0,Equipment!$T$14,INDEX(Equipment!$A$22:$L$39,MATCH($A127,Equipment!$A$22:$A$39,0),10))</f>
        <v>1530.2620850833912</v>
      </c>
      <c r="G127" s="22"/>
    </row>
    <row r="128" spans="1:7" ht="18">
      <c r="A128" s="331" t="str">
        <f>IFERROR(INDEX(Equipment!$A$22:$A$38,MATCH(B128,Equipment!$K$22:$K$38,0),1),"")</f>
        <v>ANCO Equipment (800 gal. capacity)</v>
      </c>
      <c r="B128" s="481">
        <f>IF(SMALL(Equipment!$K$22:$K$38,1),SMALL(Equipment!$K$22:$K$38,5),Equipment!$T$13)</f>
        <v>8.2285472865144635E-2</v>
      </c>
      <c r="C128" s="136">
        <f>IF(NOT(ISNUMBER(INDEX(Equipment!$A$22:$L$39,MATCH($A128,Equipment!$A$22:$A$38,0),5))),Equipment!$T$14,INDEX(Equipment!$A$22:$L$39,MATCH($A128,Equipment!$A$22:$A$38,0),5))</f>
        <v>32000</v>
      </c>
      <c r="D128" s="137">
        <f>IF(INDEX(Equipment!$A$22:$L$39,MATCH($A128,Equipment!$A$22:$A$39,0),6)=0,Equipment!$T$14,INDEX(Equipment!$A$22:$L$39,MATCH($A128,Equipment!$A$22:$A$39,0),6))</f>
        <v>8.2285472865144635E-2</v>
      </c>
      <c r="E128" s="143">
        <f>IF(INDEX(Equipment!$A$22:$L$39,MATCH($A128,Equipment!$A$22:$A$39,0),9)=0,Equipment!$T$14,INDEX(Equipment!$A$22:$L$39,MATCH($A128,Equipment!$A$22:$A$39,0),9))</f>
        <v>288.08559452567926</v>
      </c>
      <c r="F128" s="145">
        <f>IF(INDEX(Equipment!$A$22:$L$39,MATCH($A128,Equipment!$A$22:$A$39,0),10)=0,Equipment!$T$14,INDEX(Equipment!$A$22:$L$39,MATCH($A128,Equipment!$A$22:$A$39,0),10))</f>
        <v>1202.6430374643435</v>
      </c>
      <c r="G128" s="22"/>
    </row>
    <row r="129" spans="1:7" ht="18">
      <c r="A129" s="331" t="str">
        <f>IFERROR(INDEX(Equipment!$A$22:$A$38,MATCH(B129,Equipment!$K$22:$K$38,0),1),"")</f>
        <v>ANCO Equipment (600 gal. capacity)</v>
      </c>
      <c r="B129" s="481">
        <f>IF(SMALL(Equipment!$K$22:$K$38,1),SMALL(Equipment!$K$22:$K$38,6),Equipment!$T$13)</f>
        <v>0.10971396382019284</v>
      </c>
      <c r="C129" s="136">
        <f>IF(NOT(ISNUMBER(INDEX(Equipment!$A$22:$L$39,MATCH($A129,Equipment!$A$22:$A$38,0),5))),Equipment!$T$14,INDEX(Equipment!$A$22:$L$39,MATCH($A129,Equipment!$A$22:$A$38,0),5))</f>
        <v>28500</v>
      </c>
      <c r="D129" s="137">
        <f>IF(INDEX(Equipment!$A$22:$L$39,MATCH($A129,Equipment!$A$22:$A$39,0),6)=0,Equipment!$T$14,INDEX(Equipment!$A$22:$L$39,MATCH($A129,Equipment!$A$22:$A$39,0),6))</f>
        <v>0.10971396382019286</v>
      </c>
      <c r="E129" s="143">
        <f>IF(INDEX(Equipment!$A$22:$L$39,MATCH($A129,Equipment!$A$22:$A$39,0),9)=0,Equipment!$T$14,INDEX(Equipment!$A$22:$L$39,MATCH($A129,Equipment!$A$22:$A$39,0),9))</f>
        <v>209.60650707320784</v>
      </c>
      <c r="F129" s="145">
        <f>IF(INDEX(Equipment!$A$22:$L$39,MATCH($A129,Equipment!$A$22:$A$39,0),10)=0,Equipment!$T$14,INDEX(Equipment!$A$22:$L$39,MATCH($A129,Equipment!$A$22:$A$39,0),10))</f>
        <v>875.02398984529611</v>
      </c>
      <c r="G129" s="22"/>
    </row>
    <row r="130" spans="1:7" ht="18">
      <c r="A130" s="331" t="str">
        <f>IFERROR(INDEX(Equipment!$A$22:$A$38,MATCH(B130,Equipment!$K$22:$K$38,0),1),"")</f>
        <v>ANCO Equipment (500 gal. capcity)</v>
      </c>
      <c r="B130" s="481">
        <f>IF(SMALL(Equipment!$K$22:$K$38,1),SMALL(Equipment!$K$22:$K$38,7),Equipment!$T$13)</f>
        <v>0.13165675658423143</v>
      </c>
      <c r="C130" s="136">
        <f>IF(NOT(ISNUMBER(INDEX(Equipment!$A$22:$L$39,MATCH($A130,Equipment!$A$22:$A$38,0),5))),Equipment!$T$14,INDEX(Equipment!$A$22:$L$39,MATCH($A130,Equipment!$A$22:$A$38,0),5))</f>
        <v>26500</v>
      </c>
      <c r="D130" s="137">
        <f>IF(INDEX(Equipment!$A$22:$L$39,MATCH($A130,Equipment!$A$22:$A$39,0),6)=0,Equipment!$T$14,INDEX(Equipment!$A$22:$L$39,MATCH($A130,Equipment!$A$22:$A$39,0),6))</f>
        <v>0.13165675658423143</v>
      </c>
      <c r="E130" s="143">
        <f>IF(INDEX(Equipment!$A$22:$L$39,MATCH($A130,Equipment!$A$22:$A$39,0),9)=0,Equipment!$T$14,INDEX(Equipment!$A$22:$L$39,MATCH($A130,Equipment!$A$22:$A$39,0),9))</f>
        <v>170.36696334697206</v>
      </c>
      <c r="F130" s="145">
        <f>IF(INDEX(Equipment!$A$22:$L$39,MATCH($A130,Equipment!$A$22:$A$39,0),10)=0,Equipment!$T$14,INDEX(Equipment!$A$22:$L$39,MATCH($A130,Equipment!$A$22:$A$39,0),10))</f>
        <v>711.21446603577226</v>
      </c>
      <c r="G130" s="22"/>
    </row>
    <row r="131" spans="1:7" ht="18">
      <c r="A131" s="331" t="str">
        <f>IFERROR(INDEX(Equipment!$A$22:$A$38,MATCH(B131,Equipment!$K$22:$K$38,0),1),"")</f>
        <v>ANCO Equipment (400 gal. capacity)</v>
      </c>
      <c r="B131" s="481">
        <f>IF(SMALL(Equipment!$K$22:$K$38,1),SMALL(Equipment!$K$22:$K$38,8),Equipment!$T$13)</f>
        <v>0.16457094573028927</v>
      </c>
      <c r="C131" s="136">
        <f>IF(NOT(ISNUMBER(INDEX(Equipment!$A$22:$L$39,MATCH($A131,Equipment!$A$22:$A$38,0),5))),Equipment!$T$14,INDEX(Equipment!$A$22:$L$39,MATCH($A131,Equipment!$A$22:$A$38,0),5))</f>
        <v>24000</v>
      </c>
      <c r="D131" s="137">
        <f>IF(INDEX(Equipment!$A$22:$L$39,MATCH($A131,Equipment!$A$22:$A$39,0),6)=0,Equipment!$T$14,INDEX(Equipment!$A$22:$L$39,MATCH($A131,Equipment!$A$22:$A$39,0),6))</f>
        <v>0.16457094573028927</v>
      </c>
      <c r="E131" s="143">
        <f>IF(INDEX(Equipment!$A$22:$L$39,MATCH($A131,Equipment!$A$22:$A$39,0),9)=0,Equipment!$T$14,INDEX(Equipment!$A$22:$L$39,MATCH($A131,Equipment!$A$22:$A$39,0),9))</f>
        <v>131.12741962073633</v>
      </c>
      <c r="F131" s="145">
        <f>IF(INDEX(Equipment!$A$22:$L$39,MATCH($A131,Equipment!$A$22:$A$39,0),10)=0,Equipment!$T$14,INDEX(Equipment!$A$22:$L$39,MATCH($A131,Equipment!$A$22:$A$39,0),10))</f>
        <v>547.40494222624852</v>
      </c>
      <c r="G131" s="22"/>
    </row>
    <row r="132" spans="1:7" ht="18">
      <c r="A132" s="331" t="str">
        <f>IFERROR(INDEX(Equipment!$A$22:$A$38,MATCH(B132,Equipment!$K$22:$K$38,0),1),"")</f>
        <v>ANCO Equipment (300 gal. capacity)</v>
      </c>
      <c r="B132" s="481">
        <f>IF(SMALL(Equipment!$K$22:$K$38,1),SMALL(Equipment!$K$22:$K$38,9),Equipment!$T$13)</f>
        <v>0.21942792764038568</v>
      </c>
      <c r="C132" s="136">
        <f>IF(NOT(ISNUMBER(INDEX(Equipment!$A$22:$L$39,MATCH($A132,Equipment!$A$22:$A$38,0),5))),Equipment!$T$14,INDEX(Equipment!$A$22:$L$39,MATCH($A132,Equipment!$A$22:$A$38,0),5))</f>
        <v>20000</v>
      </c>
      <c r="D132" s="137">
        <f>IF(INDEX(Equipment!$A$22:$L$39,MATCH($A132,Equipment!$A$22:$A$39,0),6)=0,Equipment!$T$14,INDEX(Equipment!$A$22:$L$39,MATCH($A132,Equipment!$A$22:$A$39,0),6))</f>
        <v>0.21942792764038571</v>
      </c>
      <c r="E132" s="143">
        <f>IF(INDEX(Equipment!$A$22:$L$39,MATCH($A132,Equipment!$A$22:$A$39,0),9)=0,Equipment!$T$14,INDEX(Equipment!$A$22:$L$39,MATCH($A132,Equipment!$A$22:$A$39,0),9))</f>
        <v>91.88787589450061</v>
      </c>
      <c r="F132" s="145">
        <f>IF(INDEX(Equipment!$A$22:$L$39,MATCH($A132,Equipment!$A$22:$A$39,0),10)=0,Equipment!$T$14,INDEX(Equipment!$A$22:$L$39,MATCH($A132,Equipment!$A$22:$A$39,0),10))</f>
        <v>383.59541841672478</v>
      </c>
      <c r="G132" s="22"/>
    </row>
    <row r="133" spans="1:7" ht="18">
      <c r="A133" s="331" t="str">
        <f>IFERROR(INDEX(Equipment!$A$22:$A$38,MATCH(B133,Equipment!$K$22:$K$38,0),1),"")</f>
        <v>ANCO Equipment (200 gal. capacity)</v>
      </c>
      <c r="B133" s="481">
        <f>IF(SMALL(Equipment!$K$22:$K$38,1),SMALL(Equipment!$K$22:$K$38,10),Equipment!$T$13)</f>
        <v>0.32914189146057854</v>
      </c>
      <c r="C133" s="136">
        <f>IF(NOT(ISNUMBER(INDEX(Equipment!$A$22:$L$39,MATCH($A133,Equipment!$A$22:$A$38,0),5))),Equipment!$T$14,INDEX(Equipment!$A$22:$L$39,MATCH($A133,Equipment!$A$22:$A$38,0),5))</f>
        <v>18000</v>
      </c>
      <c r="D133" s="137">
        <f>IF(INDEX(Equipment!$A$22:$L$39,MATCH($A133,Equipment!$A$22:$A$39,0),6)=0,Equipment!$T$14,INDEX(Equipment!$A$22:$L$39,MATCH($A133,Equipment!$A$22:$A$39,0),6))</f>
        <v>0.32914189146057854</v>
      </c>
      <c r="E133" s="143">
        <f>IF(INDEX(Equipment!$A$22:$L$39,MATCH($A133,Equipment!$A$22:$A$39,0),9)=0,Equipment!$T$14,INDEX(Equipment!$A$22:$L$39,MATCH($A133,Equipment!$A$22:$A$39,0),9))</f>
        <v>52.648332168264851</v>
      </c>
      <c r="F133" s="145">
        <f>IF(INDEX(Equipment!$A$22:$L$39,MATCH($A133,Equipment!$A$22:$A$39,0),10)=0,Equipment!$T$14,INDEX(Equipment!$A$22:$L$39,MATCH($A133,Equipment!$A$22:$A$39,0),10))</f>
        <v>219.7858946072009</v>
      </c>
      <c r="G133" s="22"/>
    </row>
    <row r="134" spans="1:7" ht="18">
      <c r="A134" s="331" t="str">
        <f>IFERROR(INDEX(Equipment!$A$22:$A$38,MATCH(B134,Equipment!$K$22:$K$38,0),1),"")</f>
        <v>MicroDairy Designs (99 gal. capacity)</v>
      </c>
      <c r="B134" s="481">
        <f>IF(SMALL(Equipment!$K$22:$K$38,1),SMALL(Equipment!$K$22:$K$38,11),Equipment!$T$13)</f>
        <v>0.6649331140617748</v>
      </c>
      <c r="C134" s="136">
        <f>IF(NOT(ISNUMBER(INDEX(Equipment!$A$22:$L$39,MATCH($A134,Equipment!$A$22:$A$38,0),5))),Equipment!$T$14,INDEX(Equipment!$A$22:$L$39,MATCH($A134,Equipment!$A$22:$A$38,0),5))</f>
        <v>18000</v>
      </c>
      <c r="D134" s="137">
        <f>IF(INDEX(Equipment!$A$22:$L$39,MATCH($A134,Equipment!$A$22:$A$39,0),6)=0,Equipment!$T$14,INDEX(Equipment!$A$22:$L$39,MATCH($A134,Equipment!$A$22:$A$39,0),6))</f>
        <v>0.66493311406177491</v>
      </c>
      <c r="E134" s="143">
        <f>IF(INDEX(Equipment!$A$22:$L$39,MATCH($A134,Equipment!$A$22:$A$39,0),9)=0,Equipment!$T$14,INDEX(Equipment!$A$22:$L$39,MATCH($A134,Equipment!$A$22:$A$39,0),9))</f>
        <v>13.016393004766762</v>
      </c>
      <c r="F134" s="145">
        <f>IF(INDEX(Equipment!$A$22:$L$39,MATCH($A134,Equipment!$A$22:$A$39,0),10)=0,Equipment!$T$14,INDEX(Equipment!$A$22:$L$39,MATCH($A134,Equipment!$A$22:$A$39,0),10))</f>
        <v>54.338275559581874</v>
      </c>
      <c r="G134" s="22"/>
    </row>
    <row r="135" spans="1:7" ht="18">
      <c r="A135" s="331" t="str">
        <f>IFERROR(INDEX(Equipment!$A$22:$A$38,MATCH(B135,Equipment!$K$22:$K$38,0),1),"")</f>
        <v>MicroDairy Designs (60 gal. capacity)</v>
      </c>
      <c r="B135" s="481">
        <f>IF(SMALL(Equipment!$K$22:$K$38,1),SMALL(Equipment!$K$22:$K$38,12),Equipment!$T$13)</f>
        <v>1.0971396382019285</v>
      </c>
      <c r="C135" s="136">
        <f>IF(NOT(ISNUMBER(INDEX(Equipment!$A$22:$L$39,MATCH($A135,Equipment!$A$22:$A$38,0),5))),Equipment!$T$14,INDEX(Equipment!$A$22:$L$39,MATCH($A135,Equipment!$A$22:$A$38,0),5))</f>
        <v>16000</v>
      </c>
      <c r="D135" s="137">
        <f>IF(INDEX(Equipment!$A$22:$L$39,MATCH($A135,Equipment!$A$22:$A$39,0),6)=0,Equipment!$T$14,INDEX(Equipment!$A$22:$L$39,MATCH($A135,Equipment!$A$22:$A$39,0),6))</f>
        <v>1.0971396382019285</v>
      </c>
      <c r="E135" s="143">
        <f>IF(INDEX(Equipment!$A$22:$L$39,MATCH($A135,Equipment!$A$22:$A$39,0),9)=0,Equipment!$T$14,INDEX(Equipment!$A$22:$L$39,MATCH($A135,Equipment!$A$22:$A$39,0),9))</f>
        <v>-2.2870290484651759</v>
      </c>
      <c r="F135" s="145">
        <f>IF(INDEX(Equipment!$A$22:$L$39,MATCH($A135,Equipment!$A$22:$A$39,0),10)=0,Equipment!$T$14,INDEX(Equipment!$A$22:$L$39,MATCH($A135,Equipment!$A$22:$A$39,0),10))</f>
        <v>-9.5474387261324019</v>
      </c>
      <c r="G135" s="22"/>
    </row>
    <row r="136" spans="1:7" ht="18">
      <c r="A136" s="331" t="str">
        <f>IFERROR(INDEX(Equipment!$A$22:$A$38,MATCH(B136,Equipment!$K$22:$K$38,0),1),"")</f>
        <v>MicroDairy Designs (45 gal. capacity)</v>
      </c>
      <c r="B136" s="481">
        <f>IF(SMALL(Equipment!$K$22:$K$38,1),SMALL(Equipment!$K$22:$K$38,13),Equipment!$T$13)</f>
        <v>1.4628528509359047</v>
      </c>
      <c r="C136" s="136">
        <f>IF(NOT(ISNUMBER(INDEX(Equipment!$A$22:$L$39,MATCH($A136,Equipment!$A$22:$A$38,0),5))),Equipment!$T$14,INDEX(Equipment!$A$22:$L$39,MATCH($A136,Equipment!$A$22:$A$38,0),5))</f>
        <v>13000</v>
      </c>
      <c r="D136" s="137">
        <f>IF(INDEX(Equipment!$A$22:$L$39,MATCH($A136,Equipment!$A$22:$A$39,0),6)=0,Equipment!$T$14,INDEX(Equipment!$A$22:$L$39,MATCH($A136,Equipment!$A$22:$A$39,0),6))</f>
        <v>1.4628528509359047</v>
      </c>
      <c r="E136" s="143">
        <f>IF(INDEX(Equipment!$A$22:$L$39,MATCH($A136,Equipment!$A$22:$A$39,0),9)=0,Equipment!$T$14,INDEX(Equipment!$A$22:$L$39,MATCH($A136,Equipment!$A$22:$A$39,0),9))</f>
        <v>-8.1729606074005368</v>
      </c>
      <c r="F136" s="145">
        <f>IF(INDEX(Equipment!$A$22:$L$39,MATCH($A136,Equipment!$A$22:$A$39,0),10)=0,Equipment!$T$14,INDEX(Equipment!$A$22:$L$39,MATCH($A136,Equipment!$A$22:$A$39,0),10))</f>
        <v>-34.118867297560968</v>
      </c>
      <c r="G136" s="22"/>
    </row>
    <row r="137" spans="1:7" ht="18">
      <c r="A137" s="331" t="str">
        <f>IFERROR(INDEX(Equipment!$A$22:$A$38,MATCH(B137,Equipment!$K$22:$K$38,0),1),"")</f>
        <v>MicroDairy Designs (30 gal. capacity)</v>
      </c>
      <c r="B137" s="481">
        <f>IF(SMALL(Equipment!$K$22:$K$38,1),SMALL(Equipment!$K$22:$K$38,14),Equipment!$T$13)</f>
        <v>2.194279276403857</v>
      </c>
      <c r="C137" s="136">
        <f>IF(NOT(ISNUMBER(INDEX(Equipment!$A$22:$L$39,MATCH($A137,Equipment!$A$22:$A$38,0),5))),Equipment!$T$14,INDEX(Equipment!$A$22:$L$39,MATCH($A137,Equipment!$A$22:$A$38,0),5))</f>
        <v>10000</v>
      </c>
      <c r="D137" s="137">
        <f>IF(INDEX(Equipment!$A$22:$L$39,MATCH($A137,Equipment!$A$22:$A$39,0),6)=0,Equipment!$T$14,INDEX(Equipment!$A$22:$L$39,MATCH($A137,Equipment!$A$22:$A$39,0),6))</f>
        <v>2.194279276403857</v>
      </c>
      <c r="E137" s="143">
        <f>IF(INDEX(Equipment!$A$22:$L$39,MATCH($A137,Equipment!$A$22:$A$39,0),9)=0,Equipment!$T$14,INDEX(Equipment!$A$22:$L$39,MATCH($A137,Equipment!$A$22:$A$39,0),9))</f>
        <v>-14.058892166335898</v>
      </c>
      <c r="F137" s="145">
        <f>IF(INDEX(Equipment!$A$22:$L$39,MATCH($A137,Equipment!$A$22:$A$39,0),10)=0,Equipment!$T$14,INDEX(Equipment!$A$22:$L$39,MATCH($A137,Equipment!$A$22:$A$39,0),10))</f>
        <v>-58.690295868989537</v>
      </c>
      <c r="G137" s="22"/>
    </row>
    <row r="138" spans="1:7" ht="18">
      <c r="A138" s="331" t="str">
        <f>IFERROR(INDEX(Equipment!$A$22:$A$38,MATCH(B138,Equipment!$K$22:$K$38,0),1),"")</f>
        <v>MicroDairy Designs (15 gal. capacity)</v>
      </c>
      <c r="B138" s="481">
        <f>IF(SMALL(Equipment!$K$22:$K$38,1),SMALL(Equipment!$K$22:$K$38,15),Equipment!$T$13)</f>
        <v>4.388558552807714</v>
      </c>
      <c r="C138" s="136">
        <f>IF(NOT(ISNUMBER(INDEX(Equipment!$A$22:$L$39,MATCH($A138,Equipment!$A$22:$A$38,0),5))),Equipment!$T$14,INDEX(Equipment!$A$22:$L$39,MATCH($A138,Equipment!$A$22:$A$38,0),5))</f>
        <v>7000</v>
      </c>
      <c r="D138" s="137">
        <f>IF(INDEX(Equipment!$A$22:$L$39,MATCH($A138,Equipment!$A$22:$A$39,0),6)=0,Equipment!$T$14,INDEX(Equipment!$A$22:$L$39,MATCH($A138,Equipment!$A$22:$A$39,0),6))</f>
        <v>4.388558552807714</v>
      </c>
      <c r="E138" s="143">
        <f>IF(INDEX(Equipment!$A$22:$L$39,MATCH($A138,Equipment!$A$22:$A$39,0),9)=0,Equipment!$T$14,INDEX(Equipment!$A$22:$L$39,MATCH($A138,Equipment!$A$22:$A$39,0),9))</f>
        <v>-19.944823725271259</v>
      </c>
      <c r="F138" s="145">
        <f>IF(INDEX(Equipment!$A$22:$L$39,MATCH($A138,Equipment!$A$22:$A$39,0),10)=0,Equipment!$T$14,INDEX(Equipment!$A$22:$L$39,MATCH($A138,Equipment!$A$22:$A$39,0),10))</f>
        <v>-83.261724440418121</v>
      </c>
      <c r="G138" s="22"/>
    </row>
    <row r="139" spans="1:7" ht="18">
      <c r="A139" s="331" t="str">
        <f>IFERROR(INDEX(Equipment!$A$22:$A$38,MATCH(B139,Equipment!$K$22:$K$38,0),1),"")</f>
        <v>MicroDairy Designs (4 gal. capacity)</v>
      </c>
      <c r="B139" s="481">
        <f>IF(SMALL(Equipment!$K$22:$K$38,1),SMALL(Equipment!$K$22:$K$38,16),Equipment!$T$13)</f>
        <v>16.457094573028929</v>
      </c>
      <c r="C139" s="136">
        <f>IF(NOT(ISNUMBER(INDEX(Equipment!$A$22:$L$39,MATCH($A139,Equipment!$A$22:$A$38,0),5))),Equipment!$T$14,INDEX(Equipment!$A$22:$L$39,MATCH($A139,Equipment!$A$22:$A$38,0),5))</f>
        <v>5500</v>
      </c>
      <c r="D139" s="137">
        <f>IF(INDEX(Equipment!$A$22:$L$39,MATCH($A139,Equipment!$A$22:$A$39,0),6)=0,Equipment!$T$14,INDEX(Equipment!$A$22:$L$39,MATCH($A139,Equipment!$A$22:$A$39,0),6))</f>
        <v>16.457094573028929</v>
      </c>
      <c r="E139" s="143">
        <f>IF(INDEX(Equipment!$A$22:$L$39,MATCH($A139,Equipment!$A$22:$A$39,0),9)=0,Equipment!$T$14,INDEX(Equipment!$A$22:$L$39,MATCH($A139,Equipment!$A$22:$A$39,0),9))</f>
        <v>-24.261173535157194</v>
      </c>
      <c r="F139" s="145">
        <f>IF(INDEX(Equipment!$A$22:$L$39,MATCH($A139,Equipment!$A$22:$A$39,0),10)=0,Equipment!$T$14,INDEX(Equipment!$A$22:$L$39,MATCH($A139,Equipment!$A$22:$A$39,0),10))</f>
        <v>-101.28077205946575</v>
      </c>
      <c r="G139" s="22"/>
    </row>
    <row r="140" spans="1:7" ht="18">
      <c r="A140" s="331" t="str">
        <f>IFERROR(INDEX(Equipment!$A$22:$A$38,MATCH(B140,Equipment!$K$22:$K$38,0),1),"")</f>
        <v>Quoted Vat Pasteurizer</v>
      </c>
      <c r="B140" s="481">
        <f>IF(SMALL(Equipment!$K$22:$K$38,1),SMALL(Equipment!$K$22:$K$38,17),Equipment!$T$13)</f>
        <v>17520</v>
      </c>
      <c r="C140" s="136">
        <f>IF(NOT(ISNUMBER(INDEX(Equipment!$A$22:$L$39,MATCH($A140,Equipment!$A$22:$A$38,0),5))),Equipment!$T$14,INDEX(Equipment!$A$22:$L$39,MATCH($A140,Equipment!$A$22:$A$38,0),5))</f>
        <v>0</v>
      </c>
      <c r="D140" s="137" t="str">
        <f>IF(INDEX(Equipment!$A$22:$L$39,MATCH($A140,Equipment!$A$22:$A$39,0),6)=0,Equipment!$T$14,INDEX(Equipment!$A$22:$L$39,MATCH($A140,Equipment!$A$22:$A$39,0),6))</f>
        <v>Not enough data to calculate</v>
      </c>
      <c r="E140" s="143" t="str">
        <f>IF(INDEX(Equipment!$A$22:$L$39,MATCH($A140,Equipment!$A$22:$A$39,0),9)=0,Equipment!$T$14,INDEX(Equipment!$A$22:$L$39,MATCH($A140,Equipment!$A$22:$A$39,0),9))</f>
        <v>Not enough data to calculate</v>
      </c>
      <c r="F140" s="145" t="str">
        <f>IF(INDEX(Equipment!$A$22:$L$39,MATCH($A140,Equipment!$A$22:$A$39,0),10)=0,Equipment!$T$14,INDEX(Equipment!$A$22:$L$39,MATCH($A140,Equipment!$A$22:$A$39,0),10))</f>
        <v>Not enough data to calculate</v>
      </c>
      <c r="G140" s="22"/>
    </row>
    <row r="141" spans="1:7" ht="18">
      <c r="A141" s="343" t="str">
        <f>Equipment!A39</f>
        <v>Average Vat Pasteurizer</v>
      </c>
      <c r="B141" s="482" t="str">
        <f>IF(INDEX(Equipment!$A$73:$L$86,MATCH($A119,Equipment!$A$73:$A$86,0),11)=0,Equipment!$T$14,INDEX(Equipment!$A$73:$L$86,MATCH($A119,Equipment!$A$73:$A$86,0),11))</f>
        <v>Not enough data to calculate</v>
      </c>
      <c r="C141" s="139">
        <f>IF(NOT(ISNUMBER(INDEX(Equipment!$A$22:$L$39,MATCH($A141,Equipment!$A$22:$A$39,0),5))),Equipment!$T$14,INDEX(Equipment!$A$22:$L$39,MATCH($A141,Equipment!$A$22:$A$39,0),5))</f>
        <v>27381.439999999999</v>
      </c>
      <c r="D141" s="140" t="str">
        <f>IF(INDEX(Equipment!$A$22:$L$39,MATCH($A141,Equipment!$A$22:$A$39,0),6)=0,Equipment!$T$14,INDEX(Equipment!$A$22:$L$39,MATCH($A141,Equipment!$A$22:$A$39,0),6))</f>
        <v>Not enough data to calculate</v>
      </c>
      <c r="E141" s="144" t="str">
        <f>IF(INDEX(Equipment!$A$22:$L$39,MATCH($A141,Equipment!$A$22:$A$39,0),9)=0,Equipment!$T$14,INDEX(Equipment!$A$22:$L$39,MATCH($A141,Equipment!$A$22:$A$39,0),9))</f>
        <v>Not enough data to calculate</v>
      </c>
      <c r="F141" s="146" t="str">
        <f>IF(INDEX(Equipment!$A$22:$L$39,MATCH($A141,Equipment!$A$22:$A$39,0),10)=0,Equipment!$T$14,INDEX(Equipment!$A$22:$L$39,MATCH($A141,Equipment!$A$22:$A$39,0),10))</f>
        <v>Not enough data to calculate</v>
      </c>
      <c r="G141" s="22"/>
    </row>
    <row r="142" spans="1:7" ht="18">
      <c r="A142" s="325"/>
      <c r="B142" s="481"/>
      <c r="C142" s="136"/>
      <c r="D142" s="137"/>
      <c r="E142" s="138"/>
      <c r="F142" s="141"/>
      <c r="G142" s="22"/>
    </row>
    <row r="143" spans="1:7" ht="18">
      <c r="A143" s="325"/>
      <c r="B143" s="481"/>
      <c r="C143" s="136"/>
      <c r="D143" s="137"/>
      <c r="E143" s="138"/>
      <c r="F143" s="141"/>
      <c r="G143" s="22"/>
    </row>
    <row r="144" spans="1:7" ht="18">
      <c r="A144" s="597" t="s">
        <v>306</v>
      </c>
      <c r="B144" s="598"/>
      <c r="C144" s="598"/>
      <c r="D144" s="598"/>
      <c r="E144" s="598"/>
      <c r="F144" s="599"/>
      <c r="G144" s="22"/>
    </row>
    <row r="145" spans="1:7" ht="18">
      <c r="A145" s="142"/>
      <c r="B145" s="477" t="s">
        <v>300</v>
      </c>
      <c r="C145" s="477" t="s">
        <v>281</v>
      </c>
      <c r="D145" s="478" t="s">
        <v>267</v>
      </c>
      <c r="E145" s="479" t="s">
        <v>301</v>
      </c>
      <c r="F145" s="480" t="s">
        <v>302</v>
      </c>
      <c r="G145" s="22"/>
    </row>
    <row r="146" spans="1:7" ht="18">
      <c r="A146" s="331" t="str">
        <f>IFERROR(INDEX(Equipment!$A$43:$A$53,MATCH(B146,Equipment!$K$43:$K$53,0),1),"")</f>
        <v>In-line Pasteurizer 3500 gal/hr</v>
      </c>
      <c r="B146" s="481">
        <f>IF(SMALL(Equipment!$K$43:$K$52,1),SMALL(Equipment!$K$43:$K$52,1),Equipment!$T$13)</f>
        <v>9.404054041730817E-3</v>
      </c>
      <c r="C146" s="136">
        <f>IF(NOT(ISNUMBER(INDEX(Equipment!$A$43:$L$53,MATCH($A146,Equipment!$A$43:$A$53,0),5))),Equipment!$T$14,INDEX(Equipment!$A$43:$L$53,MATCH($A146,Equipment!$A$43:$A$53,0),5))</f>
        <v>120000</v>
      </c>
      <c r="D146" s="137">
        <f>IF(INDEX(Equipment!$A$43:$L$53,MATCH($A146,Equipment!$A$43:$A$53,0),6)=0,Equipment!$T$14,INDEX(Equipment!$A$43:$L$53,MATCH($A146,Equipment!$A$43:$A$53,0),6))</f>
        <v>9.4040540417308152E-3</v>
      </c>
      <c r="E146" s="143">
        <f>IF(INDEX(Equipment!$A$43:$L$53,MATCH($A146,Equipment!$A$43:$A$53,0),9)=0,Equipment!$T$14,INDEX(Equipment!$A$43:$L$53,MATCH($A146,Equipment!$A$43:$A$53,0),9))</f>
        <v>2720.9373055522947</v>
      </c>
      <c r="F146" s="145">
        <f>IF(INDEX(Equipment!$A$43:$L$53,MATCH($A146,Equipment!$A$43:$A$53,0),10)=0,Equipment!$T$14,INDEX(Equipment!$A$43:$L$53,MATCH($A146,Equipment!$A$43:$A$53,0),10))</f>
        <v>11358.833513654818</v>
      </c>
      <c r="G146" s="22"/>
    </row>
    <row r="147" spans="1:7" ht="18">
      <c r="A147" s="331" t="str">
        <f>IFERROR(INDEX(Equipment!$A$43:$A$53,MATCH(B147,Equipment!$K$43:$K$53,0),1),"")</f>
        <v>In-line Pasteurizer 3000 gal/hr</v>
      </c>
      <c r="B147" s="481">
        <f>IF(SMALL(Equipment!$K$43:$K$52,1),SMALL(Equipment!$K$43:$K$52,2),Equipment!$T$13)</f>
        <v>1.0971396382019286E-2</v>
      </c>
      <c r="C147" s="136">
        <f>IF(NOT(ISNUMBER(INDEX(Equipment!$A$43:$L$53,MATCH($A147,Equipment!$A$43:$A$53,0),5))),Equipment!$T$14,INDEX(Equipment!$A$43:$L$53,MATCH($A147,Equipment!$A$43:$A$53,0),5))</f>
        <v>120000</v>
      </c>
      <c r="D147" s="137">
        <f>IF(INDEX(Equipment!$A$43:$L$53,MATCH($A147,Equipment!$A$43:$A$53,0),6)=0,Equipment!$T$14,INDEX(Equipment!$A$43:$L$53,MATCH($A147,Equipment!$A$43:$A$53,0),6))</f>
        <v>1.0971396382019286E-2</v>
      </c>
      <c r="E147" s="143">
        <f>IF(INDEX(Equipment!$A$43:$L$53,MATCH($A147,Equipment!$A$43:$A$53,0),9)=0,Equipment!$T$14,INDEX(Equipment!$A$43:$L$53,MATCH($A147,Equipment!$A$43:$A$53,0),9))</f>
        <v>2328.5418682899376</v>
      </c>
      <c r="F147" s="145">
        <f>IF(INDEX(Equipment!$A$43:$L$53,MATCH($A147,Equipment!$A$43:$A$53,0),10)=0,Equipment!$T$14,INDEX(Equipment!$A$43:$L$53,MATCH($A147,Equipment!$A$43:$A$53,0),10))</f>
        <v>9720.7382755595809</v>
      </c>
      <c r="G147" s="22"/>
    </row>
    <row r="148" spans="1:7" ht="18">
      <c r="A148" s="331" t="str">
        <f>IFERROR(INDEX(Equipment!$A$43:$A$53,MATCH(B148,Equipment!$K$43:$K$53,0),1),"")</f>
        <v>In-line Pasteurizer 2500 gal/hr</v>
      </c>
      <c r="B148" s="481">
        <f>IF(SMALL(Equipment!$K$43:$K$52,1),SMALL(Equipment!$K$43:$K$52,3),Equipment!$T$13)</f>
        <v>1.3165675658423142E-2</v>
      </c>
      <c r="C148" s="136">
        <f>IF(NOT(ISNUMBER(INDEX(Equipment!$A$43:$L$53,MATCH($A148,Equipment!$A$43:$A$53,0),5))),Equipment!$T$14,INDEX(Equipment!$A$43:$L$53,MATCH($A148,Equipment!$A$43:$A$53,0),5))</f>
        <v>120000</v>
      </c>
      <c r="D148" s="137">
        <f>IF(INDEX(Equipment!$A$43:$L$53,MATCH($A148,Equipment!$A$43:$A$53,0),6)=0,Equipment!$T$14,INDEX(Equipment!$A$43:$L$53,MATCH($A148,Equipment!$A$43:$A$53,0),6))</f>
        <v>1.3165675658423142E-2</v>
      </c>
      <c r="E148" s="143">
        <f>IF(INDEX(Equipment!$A$43:$L$53,MATCH($A148,Equipment!$A$43:$A$53,0),9)=0,Equipment!$T$14,INDEX(Equipment!$A$43:$L$53,MATCH($A148,Equipment!$A$43:$A$53,0),9))</f>
        <v>1936.1464310275803</v>
      </c>
      <c r="F148" s="145">
        <f>IF(INDEX(Equipment!$A$43:$L$53,MATCH($A148,Equipment!$A$43:$A$53,0),10)=0,Equipment!$T$14,INDEX(Equipment!$A$43:$L$53,MATCH($A148,Equipment!$A$43:$A$53,0),10))</f>
        <v>8082.6430374643433</v>
      </c>
      <c r="G148" s="22"/>
    </row>
    <row r="149" spans="1:7" ht="18">
      <c r="A149" s="331" t="str">
        <f>IFERROR(INDEX(Equipment!$A$43:$A$53,MATCH(B149,Equipment!$K$43:$K$53,0),1),"")</f>
        <v>In-line Pasteurizer 2000 gal/hr</v>
      </c>
      <c r="B149" s="481">
        <f>IF(SMALL(Equipment!$K$43:$K$52,1),SMALL(Equipment!$K$43:$K$52,4),Equipment!$T$13)</f>
        <v>1.6457094573028928E-2</v>
      </c>
      <c r="C149" s="136">
        <f>IF(NOT(ISNUMBER(INDEX(Equipment!$A$43:$L$53,MATCH($A149,Equipment!$A$43:$A$53,0),5))),Equipment!$T$14,INDEX(Equipment!$A$43:$L$53,MATCH($A149,Equipment!$A$43:$A$53,0),5))</f>
        <v>120000</v>
      </c>
      <c r="D149" s="137">
        <f>IF(INDEX(Equipment!$A$43:$L$53,MATCH($A149,Equipment!$A$43:$A$53,0),6)=0,Equipment!$T$14,INDEX(Equipment!$A$43:$L$53,MATCH($A149,Equipment!$A$43:$A$53,0),6))</f>
        <v>1.6457094573028928E-2</v>
      </c>
      <c r="E149" s="143">
        <f>IF(INDEX(Equipment!$A$43:$L$53,MATCH($A149,Equipment!$A$43:$A$53,0),9)=0,Equipment!$T$14,INDEX(Equipment!$A$43:$L$53,MATCH($A149,Equipment!$A$43:$A$53,0),9))</f>
        <v>1543.7509937652228</v>
      </c>
      <c r="F149" s="145">
        <f>IF(INDEX(Equipment!$A$43:$L$53,MATCH($A149,Equipment!$A$43:$A$53,0),10)=0,Equipment!$T$14,INDEX(Equipment!$A$43:$L$53,MATCH($A149,Equipment!$A$43:$A$53,0),10))</f>
        <v>6444.5477993691047</v>
      </c>
      <c r="G149" s="22"/>
    </row>
    <row r="150" spans="1:7" ht="18">
      <c r="A150" s="331" t="str">
        <f>IFERROR(INDEX(Equipment!$A$43:$A$53,MATCH(B150,Equipment!$K$43:$K$53,0),1),"")</f>
        <v>In-line Pasteurizer 1500 gal/hr</v>
      </c>
      <c r="B150" s="481">
        <f>IF(SMALL(Equipment!$K$43:$K$52,1),SMALL(Equipment!$K$43:$K$52,5),Equipment!$T$13)</f>
        <v>2.1942792764038571E-2</v>
      </c>
      <c r="C150" s="136">
        <f>IF(NOT(ISNUMBER(INDEX(Equipment!$A$43:$L$53,MATCH($A150,Equipment!$A$43:$A$53,0),5))),Equipment!$T$14,INDEX(Equipment!$A$43:$L$53,MATCH($A150,Equipment!$A$43:$A$53,0),5))</f>
        <v>120000</v>
      </c>
      <c r="D150" s="137">
        <f>IF(INDEX(Equipment!$A$43:$L$53,MATCH($A150,Equipment!$A$43:$A$53,0),6)=0,Equipment!$T$14,INDEX(Equipment!$A$43:$L$53,MATCH($A150,Equipment!$A$43:$A$53,0),6))</f>
        <v>2.1942792764038571E-2</v>
      </c>
      <c r="E150" s="143">
        <f>IF(INDEX(Equipment!$A$43:$L$53,MATCH($A150,Equipment!$A$43:$A$53,0),9)=0,Equipment!$T$14,INDEX(Equipment!$A$43:$L$53,MATCH($A150,Equipment!$A$43:$A$53,0),9))</f>
        <v>1151.3555565028655</v>
      </c>
      <c r="F150" s="145">
        <f>IF(INDEX(Equipment!$A$43:$L$53,MATCH($A150,Equipment!$A$43:$A$53,0),10)=0,Equipment!$T$14,INDEX(Equipment!$A$43:$L$53,MATCH($A150,Equipment!$A$43:$A$53,0),10))</f>
        <v>4806.4525612738671</v>
      </c>
      <c r="G150" s="22"/>
    </row>
    <row r="151" spans="1:7" ht="18">
      <c r="A151" s="331" t="str">
        <f>IFERROR(INDEX(Equipment!$A$43:$A$53,MATCH(B151,Equipment!$K$43:$K$53,0),1),"")</f>
        <v>In-line Pasteurizer 1000 gal/hr</v>
      </c>
      <c r="B151" s="481">
        <f>IF(SMALL(Equipment!$K$43:$K$52,1),SMALL(Equipment!$K$43:$K$52,6),Equipment!$T$13)</f>
        <v>3.2914189146057857E-2</v>
      </c>
      <c r="C151" s="136">
        <f>IF(NOT(ISNUMBER(INDEX(Equipment!$A$43:$L$53,MATCH($A151,Equipment!$A$43:$A$53,0),5))),Equipment!$T$14,INDEX(Equipment!$A$43:$L$53,MATCH($A151,Equipment!$A$43:$A$53,0),5))</f>
        <v>120000</v>
      </c>
      <c r="D151" s="137">
        <f>IF(INDEX(Equipment!$A$43:$L$53,MATCH($A151,Equipment!$A$43:$A$53,0),6)=0,Equipment!$T$14,INDEX(Equipment!$A$43:$L$53,MATCH($A151,Equipment!$A$43:$A$53,0),6))</f>
        <v>3.2914189146057857E-2</v>
      </c>
      <c r="E151" s="143">
        <f>IF(INDEX(Equipment!$A$43:$L$53,MATCH($A151,Equipment!$A$43:$A$53,0),9)=0,Equipment!$T$14,INDEX(Equipment!$A$43:$L$53,MATCH($A151,Equipment!$A$43:$A$53,0),9))</f>
        <v>758.96011924050822</v>
      </c>
      <c r="F151" s="145">
        <f>IF(INDEX(Equipment!$A$43:$L$53,MATCH($A151,Equipment!$A$43:$A$53,0),10)=0,Equipment!$T$14,INDEX(Equipment!$A$43:$L$53,MATCH($A151,Equipment!$A$43:$A$53,0),10))</f>
        <v>3168.3573231786299</v>
      </c>
      <c r="G151" s="22"/>
    </row>
    <row r="152" spans="1:7" ht="18">
      <c r="A152" s="331" t="str">
        <f>IFERROR(INDEX(Equipment!$A$43:$A$53,MATCH(B152,Equipment!$K$43:$K$53,0),1),"")</f>
        <v>In-line Pasteurizer 500 gal/hr</v>
      </c>
      <c r="B152" s="481">
        <f>IF(SMALL(Equipment!$K$43:$K$52,1),SMALL(Equipment!$K$43:$K$52,7),Equipment!$T$13)</f>
        <v>6.5828378292115713E-2</v>
      </c>
      <c r="C152" s="136">
        <f>IF(NOT(ISNUMBER(INDEX(Equipment!$A$43:$L$53,MATCH($A152,Equipment!$A$43:$A$53,0),5))),Equipment!$T$14,INDEX(Equipment!$A$43:$L$53,MATCH($A152,Equipment!$A$43:$A$53,0),5))</f>
        <v>120000</v>
      </c>
      <c r="D152" s="137">
        <f>IF(INDEX(Equipment!$A$43:$L$53,MATCH($A152,Equipment!$A$43:$A$53,0),6)=0,Equipment!$T$14,INDEX(Equipment!$A$43:$L$53,MATCH($A152,Equipment!$A$43:$A$53,0),6))</f>
        <v>6.5828378292115713E-2</v>
      </c>
      <c r="E152" s="143">
        <f>IF(INDEX(Equipment!$A$43:$L$53,MATCH($A152,Equipment!$A$43:$A$53,0),9)=0,Equipment!$T$14,INDEX(Equipment!$A$43:$L$53,MATCH($A152,Equipment!$A$43:$A$53,0),9))</f>
        <v>366.56468197815076</v>
      </c>
      <c r="F152" s="145">
        <f>IF(INDEX(Equipment!$A$43:$L$53,MATCH($A152,Equipment!$A$43:$A$53,0),10)=0,Equipment!$T$14,INDEX(Equipment!$A$43:$L$53,MATCH($A152,Equipment!$A$43:$A$53,0),10))</f>
        <v>1530.2620850833912</v>
      </c>
      <c r="G152" s="22"/>
    </row>
    <row r="153" spans="1:7" ht="18">
      <c r="A153" s="331" t="str">
        <f>IFERROR(INDEX(Equipment!$A$43:$A$53,MATCH(B153,Equipment!$K$43:$K$53,0),1),"")</f>
        <v>In-line Pasteurizer 200 gal/hr</v>
      </c>
      <c r="B153" s="481">
        <f>IF(SMALL(Equipment!$K$43:$K$52,1),SMALL(Equipment!$K$43:$K$52,8),Equipment!$T$13)</f>
        <v>0.16457094573028927</v>
      </c>
      <c r="C153" s="136">
        <f>IF(NOT(ISNUMBER(INDEX(Equipment!$A$43:$L$53,MATCH($A153,Equipment!$A$43:$A$53,0),5))),Equipment!$T$14,INDEX(Equipment!$A$43:$L$53,MATCH($A153,Equipment!$A$43:$A$53,0),5))</f>
        <v>120000</v>
      </c>
      <c r="D153" s="137">
        <f>IF(INDEX(Equipment!$A$43:$L$53,MATCH($A153,Equipment!$A$43:$A$53,0),6)=0,Equipment!$T$14,INDEX(Equipment!$A$43:$L$53,MATCH($A153,Equipment!$A$43:$A$53,0),6))</f>
        <v>0.16457094573028927</v>
      </c>
      <c r="E153" s="143">
        <f>IF(INDEX(Equipment!$A$43:$L$53,MATCH($A153,Equipment!$A$43:$A$53,0),9)=0,Equipment!$T$14,INDEX(Equipment!$A$43:$L$53,MATCH($A153,Equipment!$A$43:$A$53,0),9))</f>
        <v>131.12741962073633</v>
      </c>
      <c r="F153" s="145">
        <f>IF(INDEX(Equipment!$A$43:$L$53,MATCH($A153,Equipment!$A$43:$A$53,0),10)=0,Equipment!$T$14,INDEX(Equipment!$A$43:$L$53,MATCH($A153,Equipment!$A$43:$A$53,0),10))</f>
        <v>547.40494222624852</v>
      </c>
      <c r="G153" s="22"/>
    </row>
    <row r="154" spans="1:7" ht="18">
      <c r="A154" s="331" t="str">
        <f>IFERROR(INDEX(Equipment!$A$43:$A$53,MATCH(B154,Equipment!$K$43:$K$53,0),1),"")</f>
        <v>In-line Pasteurizer 100 gal/hr</v>
      </c>
      <c r="B154" s="481">
        <f>IF(SMALL(Equipment!$K$43:$K$52,1),SMALL(Equipment!$K$43:$K$52,9),Equipment!$T$13)</f>
        <v>0.32914189146057854</v>
      </c>
      <c r="C154" s="136">
        <f>IF(NOT(ISNUMBER(INDEX(Equipment!$A$43:$L$53,MATCH($A154,Equipment!$A$43:$A$53,0),5))),Equipment!$T$14,INDEX(Equipment!$A$43:$L$53,MATCH($A154,Equipment!$A$43:$A$53,0),5))</f>
        <v>120000</v>
      </c>
      <c r="D154" s="137">
        <f>IF(INDEX(Equipment!$A$43:$L$53,MATCH($A154,Equipment!$A$43:$A$53,0),6)=0,Equipment!$T$14,INDEX(Equipment!$A$43:$L$53,MATCH($A154,Equipment!$A$43:$A$53,0),6))</f>
        <v>0.32914189146057854</v>
      </c>
      <c r="E154" s="143">
        <f>IF(INDEX(Equipment!$A$43:$L$53,MATCH($A154,Equipment!$A$43:$A$53,0),9)=0,Equipment!$T$14,INDEX(Equipment!$A$43:$L$53,MATCH($A154,Equipment!$A$43:$A$53,0),9))</f>
        <v>52.648332168264851</v>
      </c>
      <c r="F154" s="145">
        <f>IF(INDEX(Equipment!$A$43:$L$53,MATCH($A154,Equipment!$A$43:$A$53,0),10)=0,Equipment!$T$14,INDEX(Equipment!$A$43:$L$53,MATCH($A154,Equipment!$A$43:$A$53,0),10))</f>
        <v>219.7858946072009</v>
      </c>
      <c r="G154" s="22"/>
    </row>
    <row r="155" spans="1:7" ht="18">
      <c r="A155" s="331" t="str">
        <f>IFERROR(INDEX(Equipment!$A$43:$A$53,MATCH(B155,Equipment!$K$43:$K$53,0),1),"")</f>
        <v>Quoted In-Line Pasteurizer</v>
      </c>
      <c r="B155" s="481">
        <f>IF(SMALL(Equipment!$K$43:$K$52,1),SMALL(Equipment!$K$43:$K$52,10),Equipment!$T$13)</f>
        <v>8760</v>
      </c>
      <c r="C155" s="136">
        <f>IF(NOT(ISNUMBER(INDEX(Equipment!$A$43:$L$53,MATCH($A155,Equipment!$A$43:$A$53,0),5))),Equipment!$T$14,INDEX(Equipment!$A$43:$L$53,MATCH($A155,Equipment!$A$43:$A$53,0),5))</f>
        <v>0</v>
      </c>
      <c r="D155" s="137" t="str">
        <f>IF(INDEX(Equipment!$A$43:$L$53,MATCH($A155,Equipment!$A$43:$A$53,0),6)=0,Equipment!$T$14,INDEX(Equipment!$A$43:$L$53,MATCH($A155,Equipment!$A$43:$A$53,0),6))</f>
        <v>Not enough data to calculate</v>
      </c>
      <c r="E155" s="143" t="str">
        <f>IF(INDEX(Equipment!$A$43:$L$53,MATCH($A155,Equipment!$A$43:$A$53,0),9)=0,Equipment!$T$14,INDEX(Equipment!$A$43:$L$53,MATCH($A155,Equipment!$A$43:$A$53,0),9))</f>
        <v>Not enough data to calculate</v>
      </c>
      <c r="F155" s="145" t="str">
        <f>IF(INDEX(Equipment!$A$43:$L$53,MATCH($A155,Equipment!$A$43:$A$53,0),10)=0,Equipment!$T$14,INDEX(Equipment!$A$43:$L$53,MATCH($A155,Equipment!$A$43:$A$53,0),10))</f>
        <v>Not enough data to calculate</v>
      </c>
      <c r="G155" s="22"/>
    </row>
    <row r="156" spans="1:7" ht="18">
      <c r="A156" s="343" t="str">
        <f>Equipment!A53</f>
        <v>Average In-Line Pasteurizer</v>
      </c>
      <c r="B156" s="482" t="str">
        <f>IF(INDEX(Equipment!$A$73:$L$86,MATCH($A119,Equipment!$A$73:$A$86,0),11)=0,Equipment!$T$14,INDEX(Equipment!$A$73:$L$86,MATCH($A119,Equipment!$A$73:$A$86,0),11))</f>
        <v>Not enough data to calculate</v>
      </c>
      <c r="C156" s="139">
        <f>IF(NOT(ISNUMBER(INDEX(Equipment!$A$43:$L$54,MATCH($A156,Equipment!$A$43:$A$54,0),5))),Equipment!$T$14,INDEX(Equipment!$A$43:$L$54,MATCH($A156,Equipment!$A$43:$A$54,0),5))</f>
        <v>0</v>
      </c>
      <c r="D156" s="140" t="str">
        <f>IF(INDEX(Equipment!$A$43:$L$54,MATCH($A156,Equipment!$A$43:$A$53,0),6)=0,Equipment!$T$14,INDEX(Equipment!$A$43:$L$53,MATCH($A156,Equipment!$A$43:$A$53,0),6))</f>
        <v>Not enough data to calculate</v>
      </c>
      <c r="E156" s="144" t="str">
        <f>IF(INDEX(Equipment!$A$43:$L$54,MATCH($A156,Equipment!$A$43:$A$53,0),9)=0,Equipment!$T$14,INDEX(Equipment!$A$43:$L$53,MATCH($A156,Equipment!$A$43:$A$53,0),9))</f>
        <v>Not enough data to calculate</v>
      </c>
      <c r="F156" s="146" t="str">
        <f>IF(INDEX(Equipment!$A$43:$L$54,MATCH($A156,Equipment!$A$43:$A$53,0),10)=0,Equipment!$T$14,INDEX(Equipment!$A$43:$L$53,MATCH($A156,Equipment!$A$43:$A$53,0),10))</f>
        <v>Not enough data to calculate</v>
      </c>
      <c r="G156" s="22"/>
    </row>
    <row r="157" spans="1:7" ht="18">
      <c r="A157" s="325"/>
      <c r="B157" s="481"/>
      <c r="C157" s="136"/>
      <c r="D157" s="137"/>
      <c r="E157" s="138"/>
      <c r="F157" s="141"/>
      <c r="G157" s="22"/>
    </row>
    <row r="158" spans="1:7" ht="18">
      <c r="A158" s="83"/>
      <c r="B158" s="83"/>
      <c r="C158" s="83"/>
      <c r="D158" s="153"/>
      <c r="E158" s="89"/>
      <c r="F158" s="320"/>
      <c r="G158" s="22"/>
    </row>
    <row r="159" spans="1:7" ht="18">
      <c r="A159" s="597" t="s">
        <v>138</v>
      </c>
      <c r="B159" s="598"/>
      <c r="C159" s="598"/>
      <c r="D159" s="598"/>
      <c r="E159" s="598"/>
      <c r="F159" s="599"/>
      <c r="G159" s="22"/>
    </row>
    <row r="160" spans="1:7" ht="18">
      <c r="A160" s="379"/>
      <c r="B160" s="477" t="s">
        <v>300</v>
      </c>
      <c r="C160" s="477" t="s">
        <v>281</v>
      </c>
      <c r="D160" s="478" t="s">
        <v>267</v>
      </c>
      <c r="E160" s="479" t="s">
        <v>301</v>
      </c>
      <c r="F160" s="480" t="s">
        <v>302</v>
      </c>
      <c r="G160" s="22"/>
    </row>
    <row r="161" spans="1:25" ht="18">
      <c r="A161" s="331" t="str">
        <f>Equipment!A104</f>
        <v>Quoted Wash Station</v>
      </c>
      <c r="B161" s="481" t="str">
        <f>IF(INDEX(Equipment!$A$104:$L$105,MATCH(A161,Equipment!$A$104:$A$105,0),11)=0,Equipment!$T$14,INDEX(Equipment!$A$104:$L$105,MATCH(A161,Equipment!$A$104:$A$105,0),11))</f>
        <v>Not enough data to calculate</v>
      </c>
      <c r="C161" s="136">
        <f>IF(NOT(ISNUMBER(INDEX(Equipment!$A$104:$L$105,MATCH($A161,Equipment!$A$104:$A$105,0),5))),Equipment!$T$14,INDEX(Equipment!$A$104:$L$105,MATCH($A161,Equipment!$A$104:$A$105,0),5))</f>
        <v>0</v>
      </c>
      <c r="D161" s="137" t="str">
        <f>IF(INDEX(Equipment!$A$104:$L$105,MATCH($A161,Equipment!$A$104:$A$105,0),6)=0,Equipment!$T$14,INDEX(Equipment!$A$104:$L$105,MATCH($A161,Equipment!$A$104:$A$105,0),6))</f>
        <v>Not enough data to calculate</v>
      </c>
      <c r="E161" s="143" t="str">
        <f>IF(INDEX(Equipment!$A$104:$L$105,MATCH($A161,Equipment!$A$104:$A$105,0),9)=0,Equipment!$T$14,INDEX(Equipment!$A$104:$L$105,MATCH($A161,Equipment!$A$104:$A$105,0),9))</f>
        <v>Not enough data to calculate</v>
      </c>
      <c r="F161" s="145" t="str">
        <f>IF(INDEX(Equipment!$A$104:$L$105,MATCH($A161,Equipment!$A$104:$A$105,0),10)=0,Equipment!$T$14,INDEX(Equipment!$A$104:$L$105,MATCH($A161,Equipment!$A$104:$A$105,0),10))</f>
        <v>Not enough data to calculate</v>
      </c>
      <c r="G161" s="22"/>
    </row>
    <row r="162" spans="1:25" ht="18">
      <c r="A162" s="343" t="str">
        <f>Equipment!A105</f>
        <v>Average Wash Station</v>
      </c>
      <c r="B162" s="482" t="str">
        <f>IF(INDEX(Equipment!$A$104:$L$105,MATCH(A162,Equipment!$A$104:$A$105,0),11)=0,Equipment!$T$14,INDEX(Equipment!$A$104:$L$105,MATCH(A162,Equipment!$A$104:$A$105,0),11))</f>
        <v>Not enough data to calculate</v>
      </c>
      <c r="C162" s="139">
        <f>IF(NOT(ISNUMBER(INDEX(Equipment!$A$104:$L$105,MATCH($A162,Equipment!$A$104:$A$105,0),5))),Equipment!$T$14,INDEX(Equipment!$A$104:$L$105,MATCH($A162,Equipment!$A$104:$A$105,0),5))</f>
        <v>13880</v>
      </c>
      <c r="D162" s="140" t="str">
        <f>IF(INDEX(Equipment!$A$104:$L$105,MATCH($A162,Equipment!$A$104:$A$105,0),6)=0,Equipment!$T$14,INDEX(Equipment!$A$104:$L$105,MATCH($A162,Equipment!$A$104:$A$105,0),6))</f>
        <v>Not enough data to calculate</v>
      </c>
      <c r="E162" s="144" t="str">
        <f>IF(INDEX(Equipment!$A$104:$L$105,MATCH($A162,Equipment!$A$104:$A$105,0),9)=0,Equipment!$T$14,INDEX(Equipment!$A$104:$L$105,MATCH($A162,Equipment!$A$104:$A$105,0),9))</f>
        <v>Not enough data to calculate</v>
      </c>
      <c r="F162" s="146" t="str">
        <f>IF(INDEX(Equipment!$A$104:$L$105,MATCH($A162,Equipment!$A$104:$A$105,0),10)=0,Equipment!$T$14,INDEX(Equipment!$A$104:$L$105,MATCH($A162,Equipment!$A$104:$A$105,0),10))</f>
        <v>Not enough data to calculate</v>
      </c>
      <c r="G162" s="22"/>
    </row>
    <row r="163" spans="1:25" s="22" customFormat="1" ht="18">
      <c r="A163" s="83"/>
      <c r="B163" s="83"/>
      <c r="C163" s="83"/>
      <c r="D163" s="153"/>
      <c r="E163" s="89"/>
      <c r="F163" s="320"/>
    </row>
    <row r="164" spans="1:25" ht="23.45" customHeight="1">
      <c r="A164" s="444"/>
      <c r="B164" s="444"/>
      <c r="C164" s="444"/>
      <c r="D164" s="485"/>
      <c r="E164" s="486"/>
      <c r="F164" s="487"/>
      <c r="G164" s="471"/>
      <c r="X164" s="22"/>
      <c r="Y164" s="22"/>
    </row>
    <row r="165" spans="1:25" ht="18">
      <c r="A165" s="86"/>
      <c r="B165" s="86"/>
      <c r="C165" s="86"/>
      <c r="D165" s="108"/>
      <c r="E165" s="111"/>
      <c r="F165" s="113"/>
      <c r="G165" s="22"/>
      <c r="X165" s="22"/>
      <c r="Y165" s="22"/>
    </row>
    <row r="166" spans="1:25" ht="23.45">
      <c r="A166" s="85"/>
      <c r="B166" s="85"/>
      <c r="C166" s="85"/>
      <c r="D166" s="109"/>
      <c r="E166" s="112"/>
      <c r="F166" s="114"/>
      <c r="G166" s="491"/>
      <c r="X166" s="22"/>
      <c r="Y166" s="22"/>
    </row>
    <row r="167" spans="1:25" ht="18">
      <c r="A167" s="84"/>
      <c r="B167" s="84"/>
      <c r="C167" s="84"/>
      <c r="D167" s="108"/>
      <c r="E167" s="111"/>
      <c r="F167" s="113"/>
      <c r="G167" s="22"/>
      <c r="X167" s="22"/>
      <c r="Y167" s="22"/>
    </row>
    <row r="168" spans="1:25" ht="18">
      <c r="A168" s="446"/>
      <c r="B168" s="446"/>
      <c r="C168" s="446"/>
      <c r="D168" s="488"/>
      <c r="E168" s="489"/>
      <c r="F168" s="490"/>
      <c r="G168" s="22"/>
      <c r="X168" s="22"/>
      <c r="Y168" s="22"/>
    </row>
    <row r="169" spans="1:25" ht="18">
      <c r="A169" s="83"/>
      <c r="B169" s="83"/>
      <c r="C169" s="83"/>
      <c r="D169" s="153"/>
      <c r="E169" s="89"/>
      <c r="F169" s="492"/>
      <c r="G169" s="22"/>
      <c r="X169" s="22"/>
      <c r="Y169" s="22"/>
    </row>
    <row r="170" spans="1:25" ht="23.45">
      <c r="A170" s="500" t="s">
        <v>275</v>
      </c>
      <c r="B170" s="500"/>
      <c r="C170" s="500"/>
      <c r="D170" s="500"/>
      <c r="E170" s="500"/>
      <c r="F170" s="500"/>
      <c r="G170" s="493"/>
      <c r="X170" s="22"/>
      <c r="Y170" s="22"/>
    </row>
    <row r="171" spans="1:25" ht="18">
      <c r="A171" s="402"/>
      <c r="B171" s="82"/>
      <c r="C171" s="82"/>
      <c r="D171" s="110"/>
      <c r="E171" s="494"/>
      <c r="F171" s="495"/>
      <c r="G171" s="22"/>
      <c r="X171" s="22"/>
      <c r="Y171" s="22"/>
    </row>
    <row r="172" spans="1:25" ht="18">
      <c r="A172" s="402"/>
      <c r="B172" s="82"/>
      <c r="C172" s="82"/>
      <c r="D172" s="110"/>
      <c r="E172" s="494"/>
      <c r="F172" s="495"/>
      <c r="G172" s="22"/>
      <c r="X172" s="22"/>
      <c r="Y172" s="22"/>
    </row>
    <row r="173" spans="1:25" ht="18">
      <c r="A173" s="402"/>
      <c r="B173" s="82"/>
      <c r="C173" s="82"/>
      <c r="D173" s="110"/>
      <c r="E173" s="494"/>
      <c r="F173" s="495"/>
      <c r="G173" s="22"/>
      <c r="X173" s="22"/>
      <c r="Y173" s="22"/>
    </row>
    <row r="174" spans="1:25" s="22" customFormat="1">
      <c r="D174" s="87"/>
      <c r="E174" s="496"/>
      <c r="F174" s="492"/>
    </row>
    <row r="175" spans="1:25" s="22" customFormat="1">
      <c r="D175" s="87"/>
      <c r="E175" s="496"/>
      <c r="F175" s="492"/>
    </row>
    <row r="176" spans="1:25" s="22" customFormat="1">
      <c r="D176" s="87"/>
      <c r="E176" s="496"/>
      <c r="F176" s="492"/>
    </row>
    <row r="177" spans="1:7" s="22" customFormat="1">
      <c r="D177" s="87"/>
      <c r="E177" s="496"/>
      <c r="F177" s="492"/>
    </row>
    <row r="178" spans="1:7" s="22" customFormat="1">
      <c r="D178" s="87"/>
      <c r="E178" s="496"/>
      <c r="F178" s="492"/>
    </row>
    <row r="179" spans="1:7" s="22" customFormat="1">
      <c r="D179" s="87"/>
      <c r="E179" s="496"/>
      <c r="F179" s="492"/>
    </row>
    <row r="180" spans="1:7" s="22" customFormat="1">
      <c r="D180" s="87"/>
      <c r="E180" s="496"/>
      <c r="F180" s="492"/>
    </row>
    <row r="181" spans="1:7" s="22" customFormat="1">
      <c r="D181" s="87"/>
      <c r="E181" s="496"/>
      <c r="F181" s="492"/>
    </row>
    <row r="182" spans="1:7">
      <c r="A182" s="22"/>
      <c r="B182" s="22"/>
      <c r="C182" s="22"/>
      <c r="D182" s="87"/>
      <c r="E182" s="496"/>
      <c r="F182" s="492"/>
      <c r="G182" s="22"/>
    </row>
    <row r="183" spans="1:7">
      <c r="A183" s="22"/>
      <c r="B183" s="22"/>
      <c r="C183" s="22"/>
      <c r="D183" s="87"/>
      <c r="E183" s="496"/>
      <c r="F183" s="492"/>
      <c r="G183" s="22"/>
    </row>
    <row r="184" spans="1:7">
      <c r="A184" s="22"/>
      <c r="B184" s="22"/>
      <c r="C184" s="22"/>
      <c r="D184" s="87"/>
      <c r="E184" s="496"/>
      <c r="F184" s="492"/>
      <c r="G184" s="22"/>
    </row>
    <row r="185" spans="1:7">
      <c r="A185" s="22"/>
      <c r="B185" s="22"/>
      <c r="C185" s="22"/>
      <c r="D185" s="87"/>
      <c r="E185" s="496"/>
      <c r="F185" s="492"/>
      <c r="G185" s="22"/>
    </row>
    <row r="186" spans="1:7">
      <c r="A186" s="22"/>
      <c r="B186" s="22"/>
      <c r="C186" s="22"/>
      <c r="D186" s="87"/>
      <c r="E186" s="496"/>
      <c r="F186" s="492"/>
      <c r="G186" s="22"/>
    </row>
    <row r="187" spans="1:7">
      <c r="A187" s="22"/>
      <c r="B187" s="22"/>
      <c r="C187" s="22"/>
      <c r="D187" s="87"/>
      <c r="E187" s="496"/>
      <c r="F187" s="492"/>
      <c r="G187" s="22"/>
    </row>
    <row r="188" spans="1:7">
      <c r="A188" s="22"/>
      <c r="B188" s="22"/>
      <c r="C188" s="22"/>
      <c r="D188" s="87"/>
      <c r="E188" s="496"/>
      <c r="F188" s="492"/>
      <c r="G188" s="22"/>
    </row>
    <row r="189" spans="1:7">
      <c r="A189" s="22"/>
      <c r="B189" s="22"/>
      <c r="C189" s="22"/>
      <c r="D189" s="87"/>
      <c r="E189" s="496"/>
      <c r="F189" s="492"/>
      <c r="G189" s="22"/>
    </row>
    <row r="190" spans="1:7">
      <c r="A190" s="22"/>
      <c r="B190" s="22"/>
      <c r="C190" s="22"/>
      <c r="D190" s="87"/>
      <c r="E190" s="496"/>
      <c r="F190" s="492"/>
      <c r="G190" s="22"/>
    </row>
    <row r="191" spans="1:7">
      <c r="A191" s="22"/>
      <c r="B191" s="22"/>
      <c r="C191" s="22"/>
      <c r="D191" s="87"/>
      <c r="E191" s="496"/>
      <c r="F191" s="492"/>
      <c r="G191" s="22"/>
    </row>
    <row r="192" spans="1:7">
      <c r="A192" s="22"/>
      <c r="B192" s="22"/>
      <c r="C192" s="22"/>
      <c r="D192" s="87"/>
      <c r="E192" s="496"/>
      <c r="F192" s="492"/>
      <c r="G192" s="22"/>
    </row>
    <row r="193" spans="1:7">
      <c r="A193" s="22"/>
      <c r="B193" s="22"/>
      <c r="C193" s="22"/>
      <c r="D193" s="87"/>
      <c r="E193" s="496"/>
      <c r="F193" s="492"/>
      <c r="G193" s="22"/>
    </row>
    <row r="194" spans="1:7">
      <c r="A194" s="22"/>
      <c r="B194" s="22"/>
      <c r="C194" s="22"/>
      <c r="D194" s="87"/>
      <c r="E194" s="496"/>
      <c r="F194" s="492"/>
      <c r="G194" s="22"/>
    </row>
    <row r="195" spans="1:7">
      <c r="A195" s="22"/>
      <c r="B195" s="22"/>
      <c r="C195" s="22"/>
      <c r="D195" s="87"/>
      <c r="E195" s="496"/>
      <c r="F195" s="492"/>
      <c r="G195" s="22"/>
    </row>
    <row r="196" spans="1:7">
      <c r="A196" s="22"/>
      <c r="B196" s="22"/>
      <c r="C196" s="22"/>
      <c r="D196" s="87"/>
      <c r="E196" s="496"/>
      <c r="F196" s="492"/>
      <c r="G196" s="22"/>
    </row>
    <row r="197" spans="1:7">
      <c r="A197" s="22"/>
      <c r="B197" s="22"/>
      <c r="C197" s="22"/>
      <c r="D197" s="87"/>
      <c r="E197" s="496"/>
      <c r="F197" s="492"/>
      <c r="G197" s="22"/>
    </row>
    <row r="198" spans="1:7">
      <c r="A198" s="22"/>
      <c r="B198" s="22"/>
      <c r="C198" s="22"/>
      <c r="D198" s="87"/>
      <c r="E198" s="496"/>
      <c r="F198" s="492"/>
      <c r="G198" s="22"/>
    </row>
    <row r="199" spans="1:7">
      <c r="A199" s="22"/>
      <c r="B199" s="22"/>
      <c r="C199" s="22"/>
      <c r="D199" s="87"/>
      <c r="E199" s="496"/>
      <c r="F199" s="492"/>
      <c r="G199" s="22"/>
    </row>
    <row r="200" spans="1:7">
      <c r="A200" s="22"/>
      <c r="B200" s="22"/>
      <c r="C200" s="22"/>
      <c r="D200" s="87"/>
      <c r="E200" s="496"/>
      <c r="F200" s="492"/>
      <c r="G200" s="22"/>
    </row>
    <row r="201" spans="1:7">
      <c r="A201" s="22"/>
      <c r="B201" s="22"/>
      <c r="C201" s="22"/>
      <c r="D201" s="87"/>
      <c r="E201" s="496"/>
      <c r="F201" s="492"/>
      <c r="G201" s="22"/>
    </row>
    <row r="202" spans="1:7">
      <c r="A202" s="22"/>
      <c r="B202" s="22"/>
      <c r="C202" s="22"/>
      <c r="D202" s="87"/>
      <c r="E202" s="496"/>
      <c r="F202" s="492"/>
      <c r="G202" s="22"/>
    </row>
    <row r="203" spans="1:7">
      <c r="A203" s="22"/>
      <c r="B203" s="22"/>
      <c r="C203" s="22"/>
      <c r="D203" s="87"/>
      <c r="E203" s="496"/>
      <c r="F203" s="492"/>
      <c r="G203" s="22"/>
    </row>
    <row r="204" spans="1:7">
      <c r="A204" s="22"/>
      <c r="B204" s="22"/>
      <c r="C204" s="22"/>
      <c r="D204" s="87"/>
      <c r="E204" s="496"/>
      <c r="F204" s="492"/>
      <c r="G204" s="22"/>
    </row>
    <row r="205" spans="1:7">
      <c r="A205" s="22"/>
      <c r="B205" s="22"/>
      <c r="C205" s="22"/>
      <c r="D205" s="87"/>
      <c r="E205" s="496"/>
      <c r="F205" s="492"/>
      <c r="G205" s="22"/>
    </row>
    <row r="206" spans="1:7">
      <c r="A206" s="22"/>
      <c r="B206" s="22"/>
      <c r="C206" s="22"/>
      <c r="D206" s="87"/>
      <c r="E206" s="496"/>
      <c r="F206" s="492"/>
      <c r="G206" s="22"/>
    </row>
    <row r="207" spans="1:7">
      <c r="A207" s="22"/>
      <c r="B207" s="22"/>
      <c r="C207" s="22"/>
      <c r="D207" s="87"/>
      <c r="E207" s="496"/>
      <c r="F207" s="492"/>
      <c r="G207" s="22"/>
    </row>
    <row r="208" spans="1:7">
      <c r="A208" s="22"/>
      <c r="B208" s="22"/>
      <c r="C208" s="22"/>
      <c r="D208" s="87"/>
      <c r="E208" s="496"/>
      <c r="F208" s="492"/>
      <c r="G208" s="22"/>
    </row>
    <row r="209" spans="1:7">
      <c r="A209" s="22"/>
      <c r="B209" s="22"/>
      <c r="C209" s="22"/>
      <c r="D209" s="87"/>
      <c r="E209" s="496"/>
      <c r="F209" s="492"/>
      <c r="G209" s="22"/>
    </row>
    <row r="210" spans="1:7">
      <c r="A210" s="22"/>
      <c r="B210" s="22"/>
      <c r="C210" s="22"/>
      <c r="D210" s="87"/>
      <c r="E210" s="496"/>
      <c r="F210" s="492"/>
      <c r="G210" s="22"/>
    </row>
    <row r="211" spans="1:7">
      <c r="A211" s="22"/>
      <c r="B211" s="22"/>
      <c r="C211" s="22"/>
      <c r="D211" s="87"/>
      <c r="E211" s="496"/>
      <c r="F211" s="492"/>
      <c r="G211" s="22"/>
    </row>
    <row r="212" spans="1:7">
      <c r="A212" s="22"/>
      <c r="B212" s="22"/>
      <c r="C212" s="22"/>
      <c r="D212" s="87"/>
      <c r="E212" s="496"/>
      <c r="F212" s="492"/>
      <c r="G212" s="22"/>
    </row>
    <row r="213" spans="1:7">
      <c r="A213" s="22"/>
      <c r="B213" s="22"/>
      <c r="C213" s="22"/>
      <c r="D213" s="87"/>
      <c r="E213" s="496"/>
      <c r="F213" s="492"/>
      <c r="G213" s="22"/>
    </row>
    <row r="214" spans="1:7">
      <c r="A214" s="22"/>
      <c r="B214" s="22"/>
      <c r="C214" s="22"/>
      <c r="D214" s="87"/>
      <c r="E214" s="496"/>
      <c r="F214" s="492"/>
      <c r="G214" s="22"/>
    </row>
    <row r="215" spans="1:7">
      <c r="A215" s="22"/>
      <c r="B215" s="22"/>
      <c r="C215" s="22"/>
      <c r="D215" s="87"/>
      <c r="E215" s="496"/>
      <c r="F215" s="492"/>
      <c r="G215" s="22"/>
    </row>
    <row r="216" spans="1:7">
      <c r="A216" s="22"/>
      <c r="B216" s="22"/>
      <c r="C216" s="22"/>
      <c r="D216" s="87"/>
      <c r="E216" s="496"/>
      <c r="F216" s="492"/>
      <c r="G216" s="22"/>
    </row>
    <row r="217" spans="1:7">
      <c r="A217" s="22"/>
      <c r="B217" s="22"/>
      <c r="C217" s="22"/>
      <c r="D217" s="87"/>
      <c r="E217" s="496"/>
      <c r="F217" s="492"/>
      <c r="G217" s="22"/>
    </row>
    <row r="218" spans="1:7">
      <c r="A218" s="22"/>
      <c r="B218" s="22"/>
      <c r="C218" s="22"/>
      <c r="D218" s="87"/>
      <c r="E218" s="496"/>
      <c r="F218" s="492"/>
      <c r="G218" s="22"/>
    </row>
    <row r="219" spans="1:7">
      <c r="A219" s="22"/>
      <c r="B219" s="22"/>
      <c r="C219" s="22"/>
      <c r="D219" s="87"/>
      <c r="E219" s="496"/>
      <c r="F219" s="492"/>
      <c r="G219" s="22"/>
    </row>
    <row r="220" spans="1:7">
      <c r="A220" s="22"/>
      <c r="B220" s="22"/>
      <c r="C220" s="22"/>
      <c r="D220" s="87"/>
      <c r="E220" s="496"/>
      <c r="F220" s="492"/>
      <c r="G220" s="22"/>
    </row>
    <row r="221" spans="1:7">
      <c r="A221" s="22"/>
      <c r="B221" s="22"/>
      <c r="C221" s="22"/>
      <c r="D221" s="87"/>
      <c r="E221" s="496"/>
      <c r="F221" s="492"/>
      <c r="G221" s="22"/>
    </row>
    <row r="222" spans="1:7">
      <c r="A222" s="22"/>
      <c r="B222" s="22"/>
      <c r="C222" s="22"/>
      <c r="D222" s="87"/>
      <c r="E222" s="496"/>
      <c r="F222" s="492"/>
      <c r="G222" s="22"/>
    </row>
    <row r="223" spans="1:7">
      <c r="A223" s="22"/>
      <c r="B223" s="22"/>
      <c r="C223" s="22"/>
      <c r="D223" s="87"/>
      <c r="E223" s="496"/>
      <c r="F223" s="492"/>
      <c r="G223" s="22"/>
    </row>
    <row r="224" spans="1:7">
      <c r="A224" s="22"/>
      <c r="B224" s="22"/>
      <c r="C224" s="22"/>
      <c r="D224" s="87"/>
      <c r="E224" s="496"/>
      <c r="F224" s="492"/>
      <c r="G224" s="22"/>
    </row>
    <row r="225" spans="1:7">
      <c r="A225" s="22"/>
      <c r="B225" s="22"/>
      <c r="C225" s="22"/>
      <c r="D225" s="87"/>
      <c r="E225" s="496"/>
      <c r="F225" s="492"/>
      <c r="G225" s="22"/>
    </row>
    <row r="226" spans="1:7">
      <c r="A226" s="22"/>
      <c r="B226" s="22"/>
      <c r="C226" s="22"/>
      <c r="D226" s="87"/>
      <c r="E226" s="496"/>
      <c r="F226" s="492"/>
      <c r="G226" s="22"/>
    </row>
    <row r="227" spans="1:7">
      <c r="A227" s="22"/>
      <c r="B227" s="22"/>
      <c r="C227" s="22"/>
      <c r="D227" s="87"/>
      <c r="E227" s="496"/>
      <c r="F227" s="492"/>
      <c r="G227" s="22"/>
    </row>
    <row r="228" spans="1:7">
      <c r="A228" s="22"/>
      <c r="B228" s="22"/>
      <c r="C228" s="22"/>
      <c r="D228" s="87"/>
      <c r="E228" s="496"/>
      <c r="F228" s="492"/>
      <c r="G228" s="22"/>
    </row>
    <row r="229" spans="1:7">
      <c r="A229" s="22"/>
      <c r="B229" s="22"/>
      <c r="C229" s="22"/>
      <c r="D229" s="87"/>
      <c r="E229" s="496"/>
      <c r="F229" s="492"/>
      <c r="G229" s="22"/>
    </row>
    <row r="230" spans="1:7">
      <c r="A230" s="22"/>
      <c r="B230" s="22"/>
      <c r="C230" s="22"/>
      <c r="D230" s="87"/>
      <c r="E230" s="496"/>
      <c r="F230" s="492"/>
      <c r="G230" s="22"/>
    </row>
    <row r="231" spans="1:7">
      <c r="A231" s="22"/>
      <c r="B231" s="22"/>
      <c r="C231" s="22"/>
      <c r="D231" s="87"/>
      <c r="E231" s="496"/>
      <c r="F231" s="492"/>
      <c r="G231" s="22"/>
    </row>
    <row r="232" spans="1:7">
      <c r="A232" s="22"/>
      <c r="B232" s="22"/>
      <c r="C232" s="22"/>
      <c r="D232" s="87"/>
      <c r="E232" s="496"/>
      <c r="F232" s="492"/>
      <c r="G232" s="22"/>
    </row>
    <row r="233" spans="1:7">
      <c r="A233" s="22"/>
      <c r="B233" s="22"/>
      <c r="C233" s="22"/>
      <c r="D233" s="87"/>
      <c r="E233" s="496"/>
      <c r="F233" s="492"/>
      <c r="G233" s="22"/>
    </row>
    <row r="234" spans="1:7">
      <c r="A234" s="22"/>
      <c r="B234" s="22"/>
      <c r="C234" s="22"/>
      <c r="D234" s="87"/>
      <c r="E234" s="496"/>
      <c r="F234" s="492"/>
      <c r="G234" s="22"/>
    </row>
    <row r="235" spans="1:7">
      <c r="A235" s="22"/>
      <c r="B235" s="22"/>
      <c r="C235" s="22"/>
      <c r="D235" s="87"/>
      <c r="E235" s="496"/>
      <c r="F235" s="492"/>
      <c r="G235" s="22"/>
    </row>
    <row r="236" spans="1:7">
      <c r="A236" s="22"/>
      <c r="B236" s="22"/>
      <c r="C236" s="22"/>
      <c r="D236" s="87"/>
      <c r="E236" s="496"/>
      <c r="F236" s="492"/>
      <c r="G236" s="22"/>
    </row>
    <row r="237" spans="1:7">
      <c r="A237" s="22"/>
      <c r="B237" s="22"/>
      <c r="C237" s="22"/>
      <c r="D237" s="87"/>
      <c r="E237" s="496"/>
      <c r="F237" s="492"/>
      <c r="G237" s="22"/>
    </row>
    <row r="238" spans="1:7">
      <c r="A238" s="22"/>
      <c r="B238" s="22"/>
      <c r="C238" s="22"/>
      <c r="D238" s="87"/>
      <c r="E238" s="496"/>
      <c r="F238" s="492"/>
      <c r="G238" s="22"/>
    </row>
    <row r="239" spans="1:7">
      <c r="A239" s="22"/>
      <c r="B239" s="22"/>
      <c r="C239" s="22"/>
      <c r="D239" s="87"/>
      <c r="E239" s="496"/>
      <c r="F239" s="492"/>
      <c r="G239" s="22"/>
    </row>
    <row r="240" spans="1:7">
      <c r="A240" s="22"/>
      <c r="B240" s="22"/>
      <c r="C240" s="22"/>
      <c r="D240" s="87"/>
      <c r="E240" s="496"/>
      <c r="F240" s="492"/>
      <c r="G240" s="22"/>
    </row>
    <row r="241" spans="1:7">
      <c r="A241" s="22"/>
      <c r="B241" s="22"/>
      <c r="C241" s="22"/>
      <c r="D241" s="87"/>
      <c r="E241" s="496"/>
      <c r="F241" s="492"/>
      <c r="G241" s="22"/>
    </row>
    <row r="242" spans="1:7">
      <c r="A242" s="22"/>
      <c r="B242" s="22"/>
      <c r="C242" s="22"/>
      <c r="D242" s="87"/>
      <c r="E242" s="496"/>
      <c r="F242" s="492"/>
      <c r="G242" s="22"/>
    </row>
    <row r="243" spans="1:7">
      <c r="A243" s="22"/>
      <c r="B243" s="22"/>
      <c r="C243" s="22"/>
      <c r="D243" s="87"/>
      <c r="E243" s="496"/>
      <c r="F243" s="492"/>
      <c r="G243" s="22"/>
    </row>
    <row r="244" spans="1:7">
      <c r="A244" s="22"/>
      <c r="B244" s="22"/>
      <c r="C244" s="22"/>
      <c r="D244" s="87"/>
      <c r="E244" s="496"/>
      <c r="F244" s="492"/>
      <c r="G244" s="22"/>
    </row>
    <row r="245" spans="1:7">
      <c r="A245" s="22"/>
      <c r="B245" s="22"/>
      <c r="C245" s="22"/>
      <c r="D245" s="87"/>
      <c r="E245" s="496"/>
      <c r="F245" s="492"/>
      <c r="G245" s="22"/>
    </row>
    <row r="246" spans="1:7">
      <c r="A246" s="22"/>
      <c r="B246" s="22"/>
      <c r="C246" s="22"/>
      <c r="D246" s="87"/>
      <c r="E246" s="496"/>
      <c r="F246" s="492"/>
      <c r="G246" s="22"/>
    </row>
    <row r="247" spans="1:7">
      <c r="A247" s="22"/>
      <c r="B247" s="22"/>
      <c r="C247" s="22"/>
      <c r="D247" s="87"/>
      <c r="E247" s="496"/>
      <c r="F247" s="492"/>
      <c r="G247" s="22"/>
    </row>
    <row r="248" spans="1:7">
      <c r="A248" s="22"/>
      <c r="B248" s="22"/>
      <c r="C248" s="22"/>
      <c r="D248" s="87"/>
      <c r="E248" s="496"/>
      <c r="F248" s="492"/>
      <c r="G248" s="22"/>
    </row>
    <row r="249" spans="1:7">
      <c r="A249" s="22"/>
      <c r="B249" s="22"/>
      <c r="C249" s="22"/>
      <c r="D249" s="87"/>
      <c r="E249" s="496"/>
      <c r="F249" s="492"/>
      <c r="G249" s="22"/>
    </row>
    <row r="250" spans="1:7">
      <c r="A250" s="22"/>
      <c r="B250" s="22"/>
      <c r="C250" s="22"/>
      <c r="D250" s="87"/>
      <c r="E250" s="496"/>
      <c r="F250" s="492"/>
      <c r="G250" s="22"/>
    </row>
    <row r="251" spans="1:7">
      <c r="A251" s="22"/>
      <c r="B251" s="22"/>
      <c r="C251" s="22"/>
      <c r="D251" s="87"/>
      <c r="E251" s="496"/>
      <c r="F251" s="492"/>
      <c r="G251" s="22"/>
    </row>
    <row r="252" spans="1:7">
      <c r="A252" s="22"/>
      <c r="B252" s="22"/>
      <c r="C252" s="22"/>
      <c r="D252" s="87"/>
      <c r="E252" s="496"/>
      <c r="F252" s="492"/>
      <c r="G252" s="22"/>
    </row>
    <row r="253" spans="1:7">
      <c r="A253" s="22"/>
      <c r="B253" s="22"/>
      <c r="C253" s="22"/>
      <c r="D253" s="87"/>
      <c r="E253" s="496"/>
      <c r="F253" s="492"/>
      <c r="G253" s="22"/>
    </row>
    <row r="254" spans="1:7">
      <c r="A254" s="22"/>
      <c r="B254" s="22"/>
      <c r="C254" s="22"/>
      <c r="D254" s="87"/>
      <c r="E254" s="496"/>
      <c r="F254" s="492"/>
      <c r="G254" s="22"/>
    </row>
    <row r="255" spans="1:7">
      <c r="A255" s="22"/>
      <c r="B255" s="22"/>
      <c r="C255" s="22"/>
      <c r="D255" s="87"/>
      <c r="E255" s="496"/>
      <c r="F255" s="492"/>
      <c r="G255" s="22"/>
    </row>
    <row r="256" spans="1:7">
      <c r="A256" s="22"/>
      <c r="B256" s="22"/>
      <c r="C256" s="22"/>
      <c r="D256" s="87"/>
      <c r="E256" s="496"/>
      <c r="F256" s="492"/>
      <c r="G256" s="22"/>
    </row>
    <row r="257" spans="1:7">
      <c r="A257" s="22"/>
      <c r="B257" s="22"/>
      <c r="C257" s="22"/>
      <c r="D257" s="87"/>
      <c r="E257" s="496"/>
      <c r="F257" s="492"/>
      <c r="G257" s="22"/>
    </row>
    <row r="258" spans="1:7">
      <c r="A258" s="22"/>
      <c r="B258" s="22"/>
      <c r="C258" s="22"/>
      <c r="D258" s="87"/>
      <c r="E258" s="496"/>
      <c r="F258" s="492"/>
      <c r="G258" s="22"/>
    </row>
    <row r="259" spans="1:7">
      <c r="A259" s="22"/>
      <c r="B259" s="22"/>
      <c r="C259" s="22"/>
      <c r="D259" s="87"/>
      <c r="E259" s="496"/>
      <c r="F259" s="492"/>
      <c r="G259" s="22"/>
    </row>
    <row r="260" spans="1:7">
      <c r="A260" s="22"/>
      <c r="B260" s="22"/>
      <c r="C260" s="22"/>
      <c r="D260" s="87"/>
      <c r="E260" s="496"/>
      <c r="F260" s="492"/>
      <c r="G260" s="22"/>
    </row>
    <row r="261" spans="1:7">
      <c r="A261" s="22"/>
      <c r="B261" s="22"/>
      <c r="C261" s="22"/>
      <c r="D261" s="87"/>
      <c r="E261" s="496"/>
      <c r="F261" s="492"/>
      <c r="G261" s="22"/>
    </row>
    <row r="262" spans="1:7">
      <c r="A262" s="22"/>
      <c r="B262" s="22"/>
      <c r="C262" s="22"/>
      <c r="D262" s="87"/>
      <c r="E262" s="496"/>
      <c r="F262" s="492"/>
      <c r="G262" s="22"/>
    </row>
    <row r="263" spans="1:7">
      <c r="A263" s="22"/>
      <c r="B263" s="22"/>
      <c r="C263" s="22"/>
      <c r="D263" s="87"/>
      <c r="E263" s="496"/>
      <c r="F263" s="492"/>
      <c r="G263" s="22"/>
    </row>
    <row r="264" spans="1:7">
      <c r="A264" s="22"/>
      <c r="B264" s="22"/>
      <c r="C264" s="22"/>
      <c r="D264" s="87"/>
      <c r="E264" s="496"/>
      <c r="F264" s="492"/>
      <c r="G264" s="22"/>
    </row>
    <row r="265" spans="1:7">
      <c r="A265" s="22"/>
      <c r="B265" s="22"/>
      <c r="C265" s="22"/>
      <c r="D265" s="87"/>
      <c r="E265" s="496"/>
      <c r="F265" s="492"/>
      <c r="G265" s="22"/>
    </row>
    <row r="266" spans="1:7">
      <c r="A266" s="22"/>
      <c r="B266" s="22"/>
      <c r="C266" s="22"/>
      <c r="D266" s="87"/>
      <c r="E266" s="496"/>
      <c r="F266" s="492"/>
      <c r="G266" s="22"/>
    </row>
    <row r="267" spans="1:7">
      <c r="A267" s="22"/>
      <c r="B267" s="22"/>
      <c r="C267" s="22"/>
      <c r="D267" s="87"/>
      <c r="E267" s="496"/>
      <c r="F267" s="492"/>
      <c r="G267" s="22"/>
    </row>
    <row r="268" spans="1:7">
      <c r="A268" s="22"/>
      <c r="B268" s="22"/>
      <c r="C268" s="22"/>
      <c r="D268" s="87"/>
      <c r="E268" s="496"/>
      <c r="F268" s="492"/>
      <c r="G268" s="22"/>
    </row>
    <row r="269" spans="1:7">
      <c r="A269" s="22"/>
      <c r="B269" s="22"/>
      <c r="C269" s="22"/>
      <c r="D269" s="87"/>
      <c r="E269" s="496"/>
      <c r="F269" s="492"/>
      <c r="G269" s="22"/>
    </row>
    <row r="270" spans="1:7">
      <c r="A270" s="22"/>
      <c r="B270" s="22"/>
      <c r="C270" s="22"/>
      <c r="D270" s="87"/>
      <c r="E270" s="496"/>
      <c r="F270" s="492"/>
      <c r="G270" s="22"/>
    </row>
    <row r="271" spans="1:7">
      <c r="A271" s="22"/>
      <c r="B271" s="22"/>
      <c r="C271" s="22"/>
      <c r="D271" s="87"/>
      <c r="E271" s="496"/>
      <c r="F271" s="492"/>
      <c r="G271" s="22"/>
    </row>
    <row r="272" spans="1:7">
      <c r="A272" s="22"/>
      <c r="B272" s="22"/>
      <c r="C272" s="22"/>
      <c r="D272" s="87"/>
      <c r="E272" s="496"/>
      <c r="F272" s="492"/>
      <c r="G272" s="22"/>
    </row>
    <row r="273" spans="1:7">
      <c r="A273" s="22"/>
      <c r="B273" s="22"/>
      <c r="C273" s="22"/>
      <c r="D273" s="87"/>
      <c r="E273" s="496"/>
      <c r="F273" s="492"/>
      <c r="G273" s="22"/>
    </row>
    <row r="274" spans="1:7">
      <c r="A274" s="22"/>
      <c r="B274" s="22"/>
      <c r="C274" s="22"/>
      <c r="D274" s="87"/>
      <c r="E274" s="496"/>
      <c r="F274" s="492"/>
      <c r="G274" s="22"/>
    </row>
    <row r="275" spans="1:7">
      <c r="A275" s="22"/>
      <c r="B275" s="22"/>
      <c r="C275" s="22"/>
      <c r="D275" s="87"/>
      <c r="E275" s="496"/>
      <c r="F275" s="492"/>
      <c r="G275" s="22"/>
    </row>
    <row r="276" spans="1:7">
      <c r="A276" s="22"/>
      <c r="B276" s="22"/>
      <c r="C276" s="22"/>
      <c r="D276" s="87"/>
      <c r="E276" s="496"/>
      <c r="F276" s="492"/>
      <c r="G276" s="22"/>
    </row>
    <row r="277" spans="1:7">
      <c r="A277" s="22"/>
      <c r="B277" s="22"/>
      <c r="C277" s="22"/>
      <c r="D277" s="87"/>
      <c r="E277" s="496"/>
      <c r="F277" s="492"/>
      <c r="G277" s="22"/>
    </row>
    <row r="278" spans="1:7">
      <c r="A278" s="22"/>
      <c r="B278" s="22"/>
      <c r="C278" s="22"/>
      <c r="D278" s="87"/>
      <c r="E278" s="496"/>
      <c r="F278" s="492"/>
      <c r="G278" s="22"/>
    </row>
    <row r="279" spans="1:7">
      <c r="A279" s="22"/>
      <c r="B279" s="22"/>
      <c r="C279" s="22"/>
      <c r="D279" s="87"/>
      <c r="E279" s="496"/>
      <c r="F279" s="492"/>
      <c r="G279" s="22"/>
    </row>
    <row r="280" spans="1:7">
      <c r="A280" s="22"/>
      <c r="B280" s="22"/>
      <c r="C280" s="22"/>
      <c r="D280" s="87"/>
      <c r="E280" s="496"/>
      <c r="F280" s="492"/>
      <c r="G280" s="22"/>
    </row>
    <row r="281" spans="1:7">
      <c r="A281" s="22"/>
      <c r="B281" s="22"/>
      <c r="C281" s="22"/>
      <c r="D281" s="87"/>
      <c r="E281" s="496"/>
      <c r="F281" s="492"/>
      <c r="G281" s="22"/>
    </row>
    <row r="282" spans="1:7">
      <c r="A282" s="22"/>
      <c r="B282" s="22"/>
      <c r="C282" s="22"/>
      <c r="D282" s="87"/>
      <c r="E282" s="496"/>
      <c r="F282" s="492"/>
      <c r="G282" s="22"/>
    </row>
    <row r="283" spans="1:7">
      <c r="A283" s="22"/>
      <c r="B283" s="22"/>
      <c r="C283" s="22"/>
      <c r="D283" s="87"/>
      <c r="E283" s="496"/>
      <c r="F283" s="492"/>
      <c r="G283" s="22"/>
    </row>
    <row r="284" spans="1:7">
      <c r="A284" s="22"/>
      <c r="B284" s="22"/>
      <c r="C284" s="22"/>
      <c r="D284" s="87"/>
      <c r="E284" s="496"/>
      <c r="F284" s="492"/>
      <c r="G284" s="22"/>
    </row>
    <row r="285" spans="1:7">
      <c r="A285" s="22"/>
      <c r="B285" s="22"/>
      <c r="C285" s="22"/>
      <c r="D285" s="87"/>
      <c r="E285" s="496"/>
      <c r="F285" s="492"/>
      <c r="G285" s="22"/>
    </row>
    <row r="286" spans="1:7">
      <c r="A286" s="22"/>
      <c r="B286" s="22"/>
      <c r="C286" s="22"/>
      <c r="D286" s="87"/>
      <c r="E286" s="496"/>
      <c r="F286" s="492"/>
      <c r="G286" s="22"/>
    </row>
    <row r="287" spans="1:7">
      <c r="A287" s="22"/>
      <c r="B287" s="22"/>
      <c r="C287" s="22"/>
      <c r="D287" s="87"/>
      <c r="E287" s="496"/>
      <c r="F287" s="492"/>
      <c r="G287" s="22"/>
    </row>
    <row r="288" spans="1:7">
      <c r="A288" s="22"/>
      <c r="B288" s="22"/>
      <c r="C288" s="22"/>
      <c r="D288" s="87"/>
      <c r="E288" s="496"/>
      <c r="F288" s="492"/>
      <c r="G288" s="22"/>
    </row>
    <row r="289" spans="1:7">
      <c r="A289" s="22"/>
      <c r="B289" s="22"/>
      <c r="C289" s="22"/>
      <c r="D289" s="87"/>
      <c r="E289" s="496"/>
      <c r="F289" s="492"/>
      <c r="G289" s="22"/>
    </row>
    <row r="290" spans="1:7">
      <c r="A290" s="22"/>
      <c r="B290" s="22"/>
      <c r="C290" s="22"/>
      <c r="D290" s="87"/>
      <c r="E290" s="496"/>
      <c r="F290" s="492"/>
      <c r="G290" s="22"/>
    </row>
    <row r="291" spans="1:7">
      <c r="A291" s="22"/>
      <c r="B291" s="22"/>
      <c r="C291" s="22"/>
      <c r="D291" s="87"/>
      <c r="E291" s="496"/>
      <c r="F291" s="492"/>
      <c r="G291" s="22"/>
    </row>
    <row r="292" spans="1:7">
      <c r="A292" s="22"/>
      <c r="B292" s="22"/>
      <c r="C292" s="22"/>
      <c r="D292" s="87"/>
      <c r="E292" s="496"/>
      <c r="F292" s="492"/>
      <c r="G292" s="22"/>
    </row>
    <row r="293" spans="1:7">
      <c r="A293" s="22"/>
      <c r="B293" s="22"/>
      <c r="C293" s="22"/>
      <c r="D293" s="87"/>
      <c r="E293" s="496"/>
      <c r="F293" s="492"/>
      <c r="G293" s="22"/>
    </row>
    <row r="294" spans="1:7">
      <c r="A294" s="22"/>
      <c r="B294" s="22"/>
      <c r="C294" s="22"/>
      <c r="D294" s="87"/>
      <c r="E294" s="496"/>
      <c r="F294" s="492"/>
      <c r="G294" s="22"/>
    </row>
    <row r="295" spans="1:7">
      <c r="A295" s="22"/>
      <c r="B295" s="22"/>
      <c r="C295" s="22"/>
      <c r="D295" s="87"/>
      <c r="E295" s="496"/>
      <c r="F295" s="492"/>
      <c r="G295" s="22"/>
    </row>
    <row r="296" spans="1:7">
      <c r="A296" s="22"/>
      <c r="B296" s="22"/>
      <c r="C296" s="22"/>
      <c r="D296" s="87"/>
      <c r="E296" s="496"/>
      <c r="F296" s="492"/>
      <c r="G296" s="22"/>
    </row>
    <row r="297" spans="1:7">
      <c r="A297" s="22"/>
      <c r="B297" s="22"/>
      <c r="C297" s="22"/>
      <c r="D297" s="87"/>
      <c r="E297" s="496"/>
      <c r="F297" s="492"/>
      <c r="G297" s="22"/>
    </row>
    <row r="298" spans="1:7">
      <c r="A298" s="22"/>
      <c r="B298" s="22"/>
      <c r="C298" s="22"/>
      <c r="D298" s="87"/>
      <c r="E298" s="496"/>
      <c r="F298" s="492"/>
      <c r="G298" s="22"/>
    </row>
    <row r="299" spans="1:7">
      <c r="A299" s="22"/>
      <c r="B299" s="22"/>
      <c r="C299" s="22"/>
      <c r="D299" s="87"/>
      <c r="E299" s="496"/>
      <c r="F299" s="492"/>
      <c r="G299" s="22"/>
    </row>
    <row r="300" spans="1:7">
      <c r="A300" s="22"/>
      <c r="B300" s="22"/>
      <c r="C300" s="22"/>
      <c r="D300" s="87"/>
      <c r="E300" s="496"/>
      <c r="F300" s="492"/>
      <c r="G300" s="22"/>
    </row>
    <row r="301" spans="1:7">
      <c r="A301" s="22"/>
      <c r="B301" s="22"/>
      <c r="C301" s="22"/>
      <c r="D301" s="87"/>
      <c r="E301" s="496"/>
      <c r="F301" s="492"/>
      <c r="G301" s="22"/>
    </row>
    <row r="302" spans="1:7">
      <c r="A302" s="22"/>
      <c r="B302" s="22"/>
      <c r="C302" s="22"/>
      <c r="D302" s="87"/>
      <c r="E302" s="496"/>
      <c r="F302" s="492"/>
      <c r="G302" s="22"/>
    </row>
    <row r="303" spans="1:7">
      <c r="A303" s="22"/>
      <c r="B303" s="22"/>
      <c r="C303" s="22"/>
      <c r="D303" s="87"/>
      <c r="E303" s="496"/>
      <c r="F303" s="492"/>
      <c r="G303" s="22"/>
    </row>
    <row r="304" spans="1:7">
      <c r="A304" s="22"/>
      <c r="B304" s="22"/>
      <c r="C304" s="22"/>
      <c r="D304" s="87"/>
      <c r="E304" s="496"/>
      <c r="F304" s="492"/>
      <c r="G304" s="22"/>
    </row>
    <row r="305" spans="1:7">
      <c r="A305" s="22"/>
      <c r="B305" s="22"/>
      <c r="C305" s="22"/>
      <c r="D305" s="87"/>
      <c r="E305" s="496"/>
      <c r="F305" s="492"/>
      <c r="G305" s="22"/>
    </row>
    <row r="306" spans="1:7">
      <c r="A306" s="22"/>
      <c r="B306" s="22"/>
      <c r="C306" s="22"/>
      <c r="D306" s="87"/>
      <c r="E306" s="496"/>
      <c r="F306" s="492"/>
      <c r="G306" s="22"/>
    </row>
    <row r="307" spans="1:7">
      <c r="A307" s="22"/>
      <c r="B307" s="22"/>
      <c r="C307" s="22"/>
      <c r="D307" s="87"/>
      <c r="E307" s="496"/>
      <c r="F307" s="492"/>
      <c r="G307" s="22"/>
    </row>
    <row r="308" spans="1:7">
      <c r="A308" s="22"/>
      <c r="B308" s="22"/>
      <c r="C308" s="22"/>
      <c r="D308" s="87"/>
      <c r="E308" s="496"/>
      <c r="F308" s="492"/>
      <c r="G308" s="22"/>
    </row>
    <row r="309" spans="1:7">
      <c r="A309" s="22"/>
      <c r="B309" s="22"/>
      <c r="C309" s="22"/>
      <c r="D309" s="87"/>
      <c r="E309" s="496"/>
      <c r="F309" s="492"/>
      <c r="G309" s="22"/>
    </row>
    <row r="310" spans="1:7">
      <c r="A310" s="22"/>
      <c r="B310" s="22"/>
      <c r="C310" s="22"/>
      <c r="D310" s="87"/>
      <c r="E310" s="496"/>
      <c r="F310" s="492"/>
      <c r="G310" s="22"/>
    </row>
    <row r="311" spans="1:7">
      <c r="A311" s="22"/>
      <c r="B311" s="22"/>
      <c r="C311" s="22"/>
      <c r="D311" s="87"/>
      <c r="E311" s="496"/>
      <c r="F311" s="492"/>
      <c r="G311" s="22"/>
    </row>
    <row r="312" spans="1:7">
      <c r="A312" s="22"/>
      <c r="B312" s="22"/>
      <c r="C312" s="22"/>
      <c r="D312" s="87"/>
      <c r="E312" s="496"/>
      <c r="F312" s="492"/>
      <c r="G312" s="22"/>
    </row>
    <row r="313" spans="1:7">
      <c r="A313" s="22"/>
      <c r="B313" s="22"/>
      <c r="C313" s="22"/>
      <c r="D313" s="87"/>
      <c r="E313" s="496"/>
      <c r="F313" s="492"/>
      <c r="G313" s="22"/>
    </row>
    <row r="314" spans="1:7">
      <c r="A314" s="22"/>
      <c r="B314" s="22"/>
      <c r="C314" s="22"/>
      <c r="D314" s="87"/>
      <c r="E314" s="496"/>
      <c r="F314" s="492"/>
      <c r="G314" s="22"/>
    </row>
    <row r="315" spans="1:7">
      <c r="A315" s="22"/>
      <c r="B315" s="22"/>
      <c r="C315" s="22"/>
      <c r="D315" s="87"/>
      <c r="E315" s="496"/>
      <c r="F315" s="492"/>
      <c r="G315" s="22"/>
    </row>
    <row r="316" spans="1:7">
      <c r="A316" s="22"/>
      <c r="B316" s="22"/>
      <c r="C316" s="22"/>
      <c r="D316" s="87"/>
      <c r="E316" s="496"/>
      <c r="F316" s="492"/>
      <c r="G316" s="22"/>
    </row>
    <row r="317" spans="1:7">
      <c r="A317" s="22"/>
      <c r="B317" s="22"/>
      <c r="C317" s="22"/>
      <c r="D317" s="87"/>
      <c r="E317" s="496"/>
      <c r="F317" s="492"/>
      <c r="G317" s="22"/>
    </row>
    <row r="318" spans="1:7">
      <c r="A318" s="22"/>
      <c r="B318" s="22"/>
      <c r="C318" s="22"/>
      <c r="D318" s="87"/>
      <c r="E318" s="496"/>
      <c r="F318" s="492"/>
      <c r="G318" s="22"/>
    </row>
    <row r="319" spans="1:7">
      <c r="A319" s="22"/>
      <c r="B319" s="22"/>
      <c r="C319" s="22"/>
      <c r="D319" s="87"/>
      <c r="E319" s="496"/>
      <c r="F319" s="492"/>
      <c r="G319" s="22"/>
    </row>
    <row r="320" spans="1:7">
      <c r="A320" s="22"/>
      <c r="B320" s="22"/>
      <c r="C320" s="22"/>
      <c r="D320" s="87"/>
      <c r="E320" s="496"/>
      <c r="F320" s="492"/>
      <c r="G320" s="22"/>
    </row>
    <row r="321" spans="1:7">
      <c r="A321" s="22"/>
      <c r="B321" s="22"/>
      <c r="C321" s="22"/>
      <c r="D321" s="87"/>
      <c r="E321" s="496"/>
      <c r="F321" s="492"/>
      <c r="G321" s="22"/>
    </row>
    <row r="322" spans="1:7">
      <c r="A322" s="22"/>
      <c r="B322" s="22"/>
      <c r="C322" s="22"/>
      <c r="D322" s="87"/>
      <c r="E322" s="496"/>
      <c r="F322" s="492"/>
      <c r="G322" s="22"/>
    </row>
    <row r="323" spans="1:7">
      <c r="A323" s="22"/>
      <c r="B323" s="22"/>
      <c r="C323" s="22"/>
      <c r="D323" s="87"/>
      <c r="E323" s="496"/>
      <c r="F323" s="492"/>
      <c r="G323" s="22"/>
    </row>
    <row r="324" spans="1:7">
      <c r="A324" s="22"/>
      <c r="B324" s="22"/>
      <c r="C324" s="22"/>
      <c r="D324" s="87"/>
      <c r="E324" s="496"/>
      <c r="F324" s="492"/>
      <c r="G324" s="22"/>
    </row>
    <row r="325" spans="1:7">
      <c r="A325" s="22"/>
      <c r="B325" s="22"/>
      <c r="C325" s="22"/>
      <c r="D325" s="87"/>
      <c r="E325" s="496"/>
      <c r="F325" s="492"/>
      <c r="G325" s="22"/>
    </row>
    <row r="326" spans="1:7">
      <c r="A326" s="22"/>
      <c r="B326" s="22"/>
      <c r="C326" s="22"/>
      <c r="D326" s="87"/>
      <c r="E326" s="496"/>
      <c r="F326" s="492"/>
      <c r="G326" s="22"/>
    </row>
    <row r="327" spans="1:7">
      <c r="A327" s="22"/>
      <c r="B327" s="22"/>
      <c r="C327" s="22"/>
      <c r="D327" s="87"/>
      <c r="E327" s="496"/>
      <c r="F327" s="492"/>
      <c r="G327" s="22"/>
    </row>
    <row r="328" spans="1:7">
      <c r="A328" s="22"/>
      <c r="B328" s="22"/>
      <c r="C328" s="22"/>
      <c r="D328" s="87"/>
      <c r="E328" s="496"/>
      <c r="F328" s="492"/>
      <c r="G328" s="22"/>
    </row>
    <row r="329" spans="1:7">
      <c r="A329" s="22"/>
      <c r="B329" s="22"/>
      <c r="C329" s="22"/>
      <c r="D329" s="87"/>
      <c r="E329" s="496"/>
      <c r="F329" s="492"/>
      <c r="G329" s="22"/>
    </row>
    <row r="330" spans="1:7">
      <c r="A330" s="22"/>
      <c r="B330" s="22"/>
      <c r="C330" s="22"/>
      <c r="D330" s="87"/>
      <c r="E330" s="496"/>
      <c r="F330" s="492"/>
      <c r="G330" s="22"/>
    </row>
    <row r="331" spans="1:7">
      <c r="A331" s="22"/>
      <c r="B331" s="22"/>
      <c r="C331" s="22"/>
      <c r="D331" s="87"/>
      <c r="E331" s="496"/>
      <c r="F331" s="492"/>
      <c r="G331" s="22"/>
    </row>
    <row r="332" spans="1:7">
      <c r="A332" s="22"/>
      <c r="B332" s="22"/>
      <c r="C332" s="22"/>
      <c r="D332" s="87"/>
      <c r="E332" s="496"/>
      <c r="F332" s="492"/>
      <c r="G332" s="22"/>
    </row>
    <row r="333" spans="1:7">
      <c r="A333" s="22"/>
      <c r="B333" s="22"/>
      <c r="C333" s="22"/>
      <c r="D333" s="87"/>
      <c r="E333" s="496"/>
      <c r="F333" s="492"/>
      <c r="G333" s="22"/>
    </row>
    <row r="334" spans="1:7">
      <c r="A334" s="22"/>
      <c r="B334" s="22"/>
      <c r="C334" s="22"/>
      <c r="D334" s="87"/>
      <c r="E334" s="496"/>
      <c r="F334" s="492"/>
      <c r="G334" s="22"/>
    </row>
    <row r="335" spans="1:7">
      <c r="A335" s="22"/>
      <c r="B335" s="22"/>
      <c r="C335" s="22"/>
      <c r="D335" s="87"/>
      <c r="E335" s="496"/>
      <c r="F335" s="492"/>
      <c r="G335" s="22"/>
    </row>
    <row r="336" spans="1:7">
      <c r="A336" s="22"/>
      <c r="B336" s="22"/>
      <c r="C336" s="22"/>
      <c r="D336" s="87"/>
      <c r="E336" s="496"/>
      <c r="F336" s="492"/>
      <c r="G336" s="22"/>
    </row>
    <row r="337" spans="1:7">
      <c r="A337" s="22"/>
      <c r="B337" s="22"/>
      <c r="C337" s="22"/>
      <c r="D337" s="87"/>
      <c r="E337" s="496"/>
      <c r="F337" s="492"/>
      <c r="G337" s="22"/>
    </row>
    <row r="338" spans="1:7">
      <c r="A338" s="22"/>
      <c r="B338" s="22"/>
      <c r="C338" s="22"/>
      <c r="D338" s="87"/>
      <c r="E338" s="496"/>
      <c r="F338" s="492"/>
      <c r="G338" s="22"/>
    </row>
    <row r="339" spans="1:7">
      <c r="A339" s="22"/>
      <c r="B339" s="22"/>
      <c r="C339" s="22"/>
      <c r="D339" s="87"/>
      <c r="E339" s="496"/>
      <c r="F339" s="492"/>
      <c r="G339" s="22"/>
    </row>
    <row r="340" spans="1:7">
      <c r="A340" s="22"/>
      <c r="B340" s="22"/>
      <c r="C340" s="22"/>
      <c r="D340" s="87"/>
      <c r="E340" s="496"/>
      <c r="F340" s="492"/>
      <c r="G340" s="22"/>
    </row>
    <row r="341" spans="1:7">
      <c r="A341" s="22"/>
      <c r="B341" s="22"/>
      <c r="C341" s="22"/>
      <c r="D341" s="87"/>
      <c r="E341" s="496"/>
      <c r="F341" s="492"/>
      <c r="G341" s="22"/>
    </row>
    <row r="342" spans="1:7">
      <c r="A342" s="22"/>
      <c r="B342" s="22"/>
      <c r="C342" s="22"/>
      <c r="D342" s="87"/>
      <c r="E342" s="496"/>
      <c r="F342" s="492"/>
      <c r="G342" s="22"/>
    </row>
    <row r="343" spans="1:7">
      <c r="A343" s="22"/>
      <c r="B343" s="22"/>
      <c r="C343" s="22"/>
      <c r="D343" s="87"/>
      <c r="E343" s="496"/>
      <c r="F343" s="492"/>
      <c r="G343" s="22"/>
    </row>
    <row r="344" spans="1:7">
      <c r="A344" s="22"/>
      <c r="B344" s="22"/>
      <c r="C344" s="22"/>
      <c r="D344" s="87"/>
      <c r="E344" s="496"/>
      <c r="F344" s="492"/>
      <c r="G344" s="22"/>
    </row>
    <row r="345" spans="1:7">
      <c r="A345" s="22"/>
      <c r="B345" s="22"/>
      <c r="C345" s="22"/>
      <c r="D345" s="87"/>
      <c r="E345" s="496"/>
      <c r="F345" s="492"/>
      <c r="G345" s="22"/>
    </row>
    <row r="346" spans="1:7">
      <c r="A346" s="22"/>
      <c r="B346" s="22"/>
      <c r="C346" s="22"/>
      <c r="D346" s="87"/>
      <c r="E346" s="496"/>
      <c r="F346" s="492"/>
      <c r="G346" s="22"/>
    </row>
    <row r="347" spans="1:7">
      <c r="A347" s="22"/>
      <c r="B347" s="22"/>
      <c r="C347" s="22"/>
      <c r="D347" s="87"/>
      <c r="E347" s="496"/>
      <c r="F347" s="492"/>
      <c r="G347" s="22"/>
    </row>
    <row r="348" spans="1:7">
      <c r="A348" s="22"/>
      <c r="B348" s="22"/>
      <c r="C348" s="22"/>
      <c r="D348" s="87"/>
      <c r="E348" s="496"/>
      <c r="F348" s="492"/>
      <c r="G348" s="22"/>
    </row>
    <row r="349" spans="1:7">
      <c r="A349" s="22"/>
      <c r="B349" s="22"/>
      <c r="C349" s="22"/>
      <c r="D349" s="87"/>
      <c r="E349" s="496"/>
      <c r="F349" s="492"/>
      <c r="G349" s="22"/>
    </row>
    <row r="350" spans="1:7">
      <c r="A350" s="22"/>
      <c r="B350" s="22"/>
      <c r="C350" s="22"/>
      <c r="D350" s="87"/>
      <c r="E350" s="496"/>
      <c r="F350" s="492"/>
      <c r="G350" s="22"/>
    </row>
    <row r="351" spans="1:7">
      <c r="A351" s="22"/>
      <c r="B351" s="22"/>
      <c r="C351" s="22"/>
      <c r="D351" s="87"/>
      <c r="E351" s="496"/>
      <c r="F351" s="492"/>
      <c r="G351" s="22"/>
    </row>
    <row r="352" spans="1:7">
      <c r="A352" s="22"/>
      <c r="B352" s="22"/>
      <c r="C352" s="22"/>
      <c r="D352" s="87"/>
      <c r="E352" s="496"/>
      <c r="F352" s="492"/>
      <c r="G352" s="22"/>
    </row>
    <row r="353" spans="1:7">
      <c r="A353" s="22"/>
      <c r="B353" s="22"/>
      <c r="C353" s="22"/>
      <c r="D353" s="87"/>
      <c r="E353" s="496"/>
      <c r="F353" s="492"/>
      <c r="G353" s="22"/>
    </row>
    <row r="354" spans="1:7">
      <c r="A354" s="22"/>
      <c r="B354" s="22"/>
      <c r="C354" s="22"/>
      <c r="D354" s="87"/>
      <c r="E354" s="496"/>
      <c r="F354" s="492"/>
      <c r="G354" s="22"/>
    </row>
    <row r="355" spans="1:7">
      <c r="A355" s="22"/>
      <c r="B355" s="22"/>
      <c r="C355" s="22"/>
      <c r="D355" s="87"/>
      <c r="E355" s="496"/>
      <c r="F355" s="492"/>
      <c r="G355" s="22"/>
    </row>
    <row r="356" spans="1:7">
      <c r="A356" s="22"/>
      <c r="B356" s="22"/>
      <c r="C356" s="22"/>
      <c r="D356" s="87"/>
      <c r="E356" s="496"/>
      <c r="F356" s="492"/>
      <c r="G356" s="22"/>
    </row>
    <row r="357" spans="1:7">
      <c r="A357" s="22"/>
      <c r="B357" s="22"/>
      <c r="C357" s="22"/>
      <c r="D357" s="87"/>
      <c r="E357" s="496"/>
      <c r="F357" s="492"/>
      <c r="G357" s="22"/>
    </row>
    <row r="358" spans="1:7">
      <c r="A358" s="22"/>
      <c r="B358" s="22"/>
      <c r="C358" s="22"/>
      <c r="D358" s="87"/>
      <c r="E358" s="496"/>
      <c r="F358" s="492"/>
      <c r="G358" s="22"/>
    </row>
    <row r="359" spans="1:7">
      <c r="A359" s="22"/>
      <c r="B359" s="22"/>
      <c r="C359" s="22"/>
      <c r="D359" s="87"/>
      <c r="E359" s="496"/>
      <c r="F359" s="492"/>
      <c r="G359" s="22"/>
    </row>
    <row r="360" spans="1:7">
      <c r="A360" s="22"/>
      <c r="B360" s="22"/>
      <c r="C360" s="22"/>
      <c r="D360" s="87"/>
      <c r="E360" s="496"/>
      <c r="F360" s="492"/>
      <c r="G360" s="22"/>
    </row>
    <row r="361" spans="1:7">
      <c r="A361" s="22"/>
      <c r="B361" s="22"/>
      <c r="C361" s="22"/>
      <c r="D361" s="87"/>
      <c r="E361" s="496"/>
      <c r="F361" s="492"/>
      <c r="G361" s="22"/>
    </row>
    <row r="362" spans="1:7">
      <c r="A362" s="22"/>
      <c r="B362" s="22"/>
      <c r="C362" s="22"/>
      <c r="D362" s="87"/>
      <c r="E362" s="496"/>
      <c r="F362" s="492"/>
      <c r="G362" s="22"/>
    </row>
    <row r="363" spans="1:7">
      <c r="A363" s="22"/>
      <c r="B363" s="22"/>
      <c r="C363" s="22"/>
      <c r="D363" s="87"/>
      <c r="E363" s="496"/>
      <c r="F363" s="492"/>
      <c r="G363" s="22"/>
    </row>
    <row r="364" spans="1:7">
      <c r="A364" s="22"/>
      <c r="B364" s="22"/>
      <c r="C364" s="22"/>
      <c r="D364" s="87"/>
      <c r="E364" s="496"/>
      <c r="F364" s="492"/>
      <c r="G364" s="22"/>
    </row>
    <row r="365" spans="1:7">
      <c r="A365" s="22"/>
      <c r="B365" s="22"/>
      <c r="C365" s="22"/>
      <c r="D365" s="87"/>
      <c r="E365" s="496"/>
      <c r="F365" s="492"/>
      <c r="G365" s="22"/>
    </row>
    <row r="366" spans="1:7">
      <c r="A366" s="22"/>
      <c r="B366" s="22"/>
      <c r="C366" s="22"/>
      <c r="D366" s="87"/>
      <c r="E366" s="496"/>
      <c r="F366" s="492"/>
      <c r="G366" s="22"/>
    </row>
    <row r="367" spans="1:7">
      <c r="A367" s="22"/>
      <c r="B367" s="22"/>
      <c r="C367" s="22"/>
      <c r="D367" s="87"/>
      <c r="E367" s="496"/>
      <c r="F367" s="492"/>
      <c r="G367" s="22"/>
    </row>
    <row r="368" spans="1:7">
      <c r="A368" s="22"/>
      <c r="B368" s="22"/>
      <c r="C368" s="22"/>
      <c r="D368" s="87"/>
      <c r="E368" s="496"/>
      <c r="F368" s="492"/>
      <c r="G368" s="22"/>
    </row>
    <row r="369" spans="1:7">
      <c r="A369" s="22"/>
      <c r="B369" s="22"/>
      <c r="C369" s="22"/>
      <c r="D369" s="87"/>
      <c r="E369" s="496"/>
      <c r="F369" s="492"/>
      <c r="G369" s="22"/>
    </row>
    <row r="370" spans="1:7">
      <c r="A370" s="22"/>
      <c r="B370" s="22"/>
      <c r="C370" s="22"/>
      <c r="D370" s="87"/>
      <c r="E370" s="496"/>
      <c r="F370" s="492"/>
      <c r="G370" s="22"/>
    </row>
    <row r="371" spans="1:7">
      <c r="A371" s="22"/>
      <c r="B371" s="22"/>
      <c r="C371" s="22"/>
      <c r="D371" s="87"/>
      <c r="E371" s="496"/>
      <c r="F371" s="492"/>
      <c r="G371" s="22"/>
    </row>
    <row r="372" spans="1:7">
      <c r="A372" s="22"/>
      <c r="B372" s="22"/>
      <c r="C372" s="22"/>
      <c r="D372" s="87"/>
      <c r="E372" s="496"/>
      <c r="F372" s="492"/>
      <c r="G372" s="22"/>
    </row>
    <row r="373" spans="1:7">
      <c r="A373" s="22"/>
      <c r="B373" s="22"/>
      <c r="C373" s="22"/>
      <c r="D373" s="87"/>
      <c r="E373" s="496"/>
      <c r="F373" s="492"/>
      <c r="G373" s="22"/>
    </row>
    <row r="374" spans="1:7">
      <c r="A374" s="22"/>
      <c r="B374" s="22"/>
      <c r="C374" s="22"/>
      <c r="D374" s="87"/>
      <c r="E374" s="496"/>
      <c r="F374" s="492"/>
      <c r="G374" s="22"/>
    </row>
    <row r="375" spans="1:7">
      <c r="A375" s="22"/>
      <c r="B375" s="22"/>
      <c r="C375" s="22"/>
      <c r="D375" s="87"/>
      <c r="E375" s="496"/>
      <c r="F375" s="492"/>
      <c r="G375" s="22"/>
    </row>
    <row r="376" spans="1:7">
      <c r="A376" s="22"/>
      <c r="B376" s="22"/>
      <c r="C376" s="22"/>
      <c r="D376" s="87"/>
      <c r="E376" s="496"/>
      <c r="F376" s="492"/>
      <c r="G376" s="22"/>
    </row>
    <row r="377" spans="1:7">
      <c r="A377" s="22"/>
      <c r="B377" s="22"/>
      <c r="C377" s="22"/>
      <c r="D377" s="87"/>
      <c r="E377" s="496"/>
      <c r="F377" s="492"/>
      <c r="G377" s="22"/>
    </row>
    <row r="378" spans="1:7">
      <c r="A378" s="22"/>
      <c r="B378" s="22"/>
      <c r="C378" s="22"/>
      <c r="D378" s="87"/>
      <c r="E378" s="496"/>
      <c r="F378" s="492"/>
      <c r="G378" s="22"/>
    </row>
    <row r="379" spans="1:7">
      <c r="A379" s="22"/>
      <c r="B379" s="22"/>
      <c r="C379" s="22"/>
      <c r="D379" s="87"/>
      <c r="E379" s="496"/>
      <c r="F379" s="492"/>
      <c r="G379" s="22"/>
    </row>
    <row r="380" spans="1:7">
      <c r="A380" s="22"/>
      <c r="B380" s="22"/>
      <c r="C380" s="22"/>
      <c r="D380" s="87"/>
      <c r="E380" s="496"/>
      <c r="F380" s="492"/>
      <c r="G380" s="22"/>
    </row>
    <row r="381" spans="1:7">
      <c r="A381" s="22"/>
      <c r="B381" s="22"/>
      <c r="C381" s="22"/>
      <c r="D381" s="87"/>
      <c r="E381" s="496"/>
      <c r="F381" s="492"/>
      <c r="G381" s="22"/>
    </row>
    <row r="382" spans="1:7">
      <c r="A382" s="22"/>
      <c r="B382" s="22"/>
      <c r="C382" s="22"/>
      <c r="D382" s="87"/>
      <c r="E382" s="496"/>
      <c r="F382" s="492"/>
      <c r="G382" s="22"/>
    </row>
    <row r="383" spans="1:7">
      <c r="A383" s="22"/>
      <c r="B383" s="22"/>
      <c r="C383" s="22"/>
      <c r="D383" s="87"/>
      <c r="E383" s="496"/>
      <c r="F383" s="492"/>
      <c r="G383" s="22"/>
    </row>
    <row r="384" spans="1:7">
      <c r="A384" s="22"/>
      <c r="B384" s="22"/>
      <c r="C384" s="22"/>
      <c r="D384" s="87"/>
      <c r="E384" s="496"/>
      <c r="F384" s="492"/>
      <c r="G384" s="22"/>
    </row>
    <row r="385" spans="1:7">
      <c r="A385" s="22"/>
      <c r="B385" s="22"/>
      <c r="C385" s="22"/>
      <c r="D385" s="87"/>
      <c r="E385" s="496"/>
      <c r="F385" s="492"/>
      <c r="G385" s="22"/>
    </row>
    <row r="386" spans="1:7">
      <c r="A386" s="22"/>
      <c r="B386" s="22"/>
      <c r="C386" s="22"/>
      <c r="D386" s="87"/>
      <c r="E386" s="496"/>
      <c r="F386" s="492"/>
      <c r="G386" s="22"/>
    </row>
    <row r="387" spans="1:7">
      <c r="A387" s="22"/>
      <c r="B387" s="22"/>
      <c r="C387" s="22"/>
      <c r="D387" s="87"/>
      <c r="E387" s="496"/>
      <c r="F387" s="492"/>
      <c r="G387" s="22"/>
    </row>
    <row r="388" spans="1:7">
      <c r="A388" s="22"/>
      <c r="B388" s="22"/>
      <c r="C388" s="22"/>
      <c r="D388" s="87"/>
      <c r="E388" s="496"/>
      <c r="F388" s="492"/>
      <c r="G388" s="22"/>
    </row>
    <row r="389" spans="1:7">
      <c r="A389" s="22"/>
      <c r="B389" s="22"/>
      <c r="C389" s="22"/>
      <c r="D389" s="87"/>
      <c r="E389" s="496"/>
      <c r="F389" s="492"/>
      <c r="G389" s="22"/>
    </row>
    <row r="390" spans="1:7">
      <c r="A390" s="22"/>
      <c r="B390" s="22"/>
      <c r="C390" s="22"/>
      <c r="D390" s="87"/>
      <c r="E390" s="496"/>
      <c r="F390" s="492"/>
      <c r="G390" s="22"/>
    </row>
    <row r="391" spans="1:7">
      <c r="A391" s="22"/>
      <c r="B391" s="22"/>
      <c r="C391" s="22"/>
      <c r="D391" s="87"/>
      <c r="E391" s="496"/>
      <c r="F391" s="492"/>
      <c r="G391" s="22"/>
    </row>
    <row r="392" spans="1:7">
      <c r="A392" s="22"/>
      <c r="B392" s="22"/>
      <c r="C392" s="22"/>
      <c r="D392" s="87"/>
      <c r="E392" s="496"/>
      <c r="F392" s="492"/>
      <c r="G392" s="22"/>
    </row>
    <row r="393" spans="1:7">
      <c r="A393" s="22"/>
      <c r="B393" s="22"/>
      <c r="C393" s="22"/>
      <c r="D393" s="87"/>
      <c r="E393" s="496"/>
      <c r="F393" s="492"/>
      <c r="G393" s="22"/>
    </row>
    <row r="394" spans="1:7">
      <c r="A394" s="22"/>
      <c r="B394" s="22"/>
      <c r="C394" s="22"/>
      <c r="D394" s="87"/>
      <c r="E394" s="496"/>
      <c r="F394" s="492"/>
      <c r="G394" s="22"/>
    </row>
    <row r="395" spans="1:7">
      <c r="A395" s="22"/>
      <c r="B395" s="22"/>
      <c r="C395" s="22"/>
      <c r="D395" s="87"/>
      <c r="E395" s="496"/>
      <c r="F395" s="492"/>
      <c r="G395" s="22"/>
    </row>
    <row r="396" spans="1:7">
      <c r="A396" s="22"/>
      <c r="B396" s="22"/>
      <c r="C396" s="22"/>
      <c r="D396" s="87"/>
      <c r="E396" s="496"/>
      <c r="F396" s="492"/>
      <c r="G396" s="22"/>
    </row>
    <row r="397" spans="1:7">
      <c r="A397" s="22"/>
      <c r="B397" s="22"/>
      <c r="C397" s="22"/>
      <c r="D397" s="87"/>
      <c r="E397" s="496"/>
      <c r="F397" s="492"/>
      <c r="G397" s="22"/>
    </row>
    <row r="398" spans="1:7">
      <c r="A398" s="22"/>
      <c r="B398" s="22"/>
      <c r="C398" s="22"/>
      <c r="D398" s="87"/>
      <c r="E398" s="496"/>
      <c r="F398" s="492"/>
      <c r="G398" s="22"/>
    </row>
    <row r="399" spans="1:7">
      <c r="A399" s="22"/>
      <c r="B399" s="22"/>
      <c r="C399" s="22"/>
      <c r="D399" s="87"/>
      <c r="E399" s="496"/>
      <c r="F399" s="492"/>
      <c r="G399" s="22"/>
    </row>
    <row r="400" spans="1:7">
      <c r="A400" s="22"/>
      <c r="B400" s="22"/>
      <c r="C400" s="22"/>
      <c r="D400" s="87"/>
      <c r="E400" s="496"/>
      <c r="F400" s="492"/>
      <c r="G400" s="22"/>
    </row>
    <row r="401" spans="1:7">
      <c r="A401" s="22"/>
      <c r="B401" s="22"/>
      <c r="C401" s="22"/>
      <c r="D401" s="87"/>
      <c r="E401" s="496"/>
      <c r="F401" s="492"/>
      <c r="G401" s="22"/>
    </row>
    <row r="402" spans="1:7">
      <c r="A402" s="22"/>
      <c r="B402" s="22"/>
      <c r="C402" s="22"/>
      <c r="D402" s="87"/>
      <c r="E402" s="496"/>
      <c r="F402" s="492"/>
      <c r="G402" s="22"/>
    </row>
    <row r="403" spans="1:7">
      <c r="A403" s="22"/>
      <c r="B403" s="22"/>
      <c r="C403" s="22"/>
      <c r="D403" s="87"/>
      <c r="E403" s="496"/>
      <c r="F403" s="492"/>
      <c r="G403" s="22"/>
    </row>
    <row r="404" spans="1:7">
      <c r="A404" s="22"/>
      <c r="B404" s="22"/>
      <c r="C404" s="22"/>
      <c r="D404" s="87"/>
      <c r="E404" s="496"/>
      <c r="F404" s="492"/>
      <c r="G404" s="22"/>
    </row>
    <row r="405" spans="1:7">
      <c r="A405" s="22"/>
      <c r="B405" s="22"/>
      <c r="C405" s="22"/>
      <c r="D405" s="87"/>
      <c r="E405" s="496"/>
      <c r="F405" s="492"/>
      <c r="G405" s="22"/>
    </row>
    <row r="406" spans="1:7">
      <c r="A406" s="22"/>
      <c r="B406" s="22"/>
      <c r="C406" s="22"/>
      <c r="D406" s="87"/>
      <c r="E406" s="496"/>
      <c r="F406" s="492"/>
      <c r="G406" s="22"/>
    </row>
    <row r="407" spans="1:7">
      <c r="A407" s="22"/>
      <c r="B407" s="22"/>
      <c r="C407" s="22"/>
      <c r="D407" s="87"/>
      <c r="E407" s="496"/>
      <c r="F407" s="492"/>
      <c r="G407" s="22"/>
    </row>
    <row r="408" spans="1:7">
      <c r="A408" s="22"/>
      <c r="B408" s="22"/>
      <c r="C408" s="22"/>
      <c r="D408" s="87"/>
      <c r="E408" s="496"/>
      <c r="F408" s="492"/>
      <c r="G408" s="22"/>
    </row>
    <row r="409" spans="1:7">
      <c r="A409" s="22"/>
      <c r="B409" s="22"/>
      <c r="C409" s="22"/>
      <c r="D409" s="87"/>
      <c r="E409" s="496"/>
      <c r="F409" s="492"/>
      <c r="G409" s="22"/>
    </row>
    <row r="410" spans="1:7">
      <c r="A410" s="22"/>
      <c r="B410" s="22"/>
      <c r="C410" s="22"/>
      <c r="D410" s="87"/>
      <c r="E410" s="496"/>
      <c r="F410" s="492"/>
      <c r="G410" s="22"/>
    </row>
    <row r="411" spans="1:7">
      <c r="A411" s="22"/>
      <c r="B411" s="22"/>
      <c r="C411" s="22"/>
      <c r="D411" s="87"/>
      <c r="E411" s="496"/>
      <c r="F411" s="492"/>
      <c r="G411" s="22"/>
    </row>
    <row r="412" spans="1:7">
      <c r="A412" s="22"/>
      <c r="B412" s="22"/>
      <c r="C412" s="22"/>
      <c r="D412" s="87"/>
      <c r="E412" s="496"/>
      <c r="F412" s="492"/>
      <c r="G412" s="22"/>
    </row>
    <row r="413" spans="1:7">
      <c r="A413" s="22"/>
      <c r="B413" s="22"/>
      <c r="C413" s="22"/>
      <c r="D413" s="87"/>
      <c r="E413" s="496"/>
      <c r="F413" s="492"/>
      <c r="G413" s="22"/>
    </row>
    <row r="414" spans="1:7">
      <c r="A414" s="22"/>
      <c r="B414" s="22"/>
      <c r="C414" s="22"/>
      <c r="D414" s="87"/>
      <c r="E414" s="496"/>
      <c r="F414" s="492"/>
      <c r="G414" s="22"/>
    </row>
    <row r="415" spans="1:7">
      <c r="A415" s="22"/>
      <c r="B415" s="22"/>
      <c r="C415" s="22"/>
      <c r="D415" s="87"/>
      <c r="E415" s="496"/>
      <c r="F415" s="492"/>
      <c r="G415" s="22"/>
    </row>
    <row r="416" spans="1:7">
      <c r="A416" s="22"/>
      <c r="B416" s="22"/>
      <c r="C416" s="22"/>
      <c r="D416" s="87"/>
      <c r="E416" s="496"/>
      <c r="F416" s="492"/>
      <c r="G416" s="22"/>
    </row>
    <row r="417" spans="1:7">
      <c r="A417" s="22"/>
      <c r="B417" s="22"/>
      <c r="C417" s="22"/>
      <c r="D417" s="87"/>
      <c r="E417" s="496"/>
      <c r="F417" s="492"/>
      <c r="G417" s="22"/>
    </row>
    <row r="418" spans="1:7">
      <c r="A418" s="22"/>
      <c r="B418" s="22"/>
      <c r="C418" s="22"/>
      <c r="D418" s="87"/>
      <c r="E418" s="496"/>
      <c r="F418" s="492"/>
      <c r="G418" s="22"/>
    </row>
    <row r="419" spans="1:7">
      <c r="A419" s="22"/>
      <c r="B419" s="22"/>
      <c r="C419" s="22"/>
      <c r="D419" s="87"/>
      <c r="E419" s="496"/>
      <c r="F419" s="492"/>
      <c r="G419" s="22"/>
    </row>
    <row r="420" spans="1:7">
      <c r="A420" s="22"/>
      <c r="B420" s="22"/>
      <c r="C420" s="22"/>
      <c r="D420" s="87"/>
      <c r="E420" s="496"/>
      <c r="F420" s="492"/>
      <c r="G420" s="22"/>
    </row>
    <row r="421" spans="1:7">
      <c r="A421" s="22"/>
      <c r="B421" s="22"/>
      <c r="C421" s="22"/>
      <c r="D421" s="87"/>
      <c r="E421" s="496"/>
      <c r="F421" s="492"/>
      <c r="G421" s="22"/>
    </row>
    <row r="422" spans="1:7">
      <c r="A422" s="22"/>
      <c r="B422" s="22"/>
      <c r="C422" s="22"/>
      <c r="D422" s="87"/>
      <c r="E422" s="496"/>
      <c r="F422" s="492"/>
      <c r="G422" s="22"/>
    </row>
    <row r="423" spans="1:7">
      <c r="A423" s="22"/>
      <c r="B423" s="22"/>
      <c r="C423" s="22"/>
      <c r="D423" s="87"/>
      <c r="E423" s="496"/>
      <c r="F423" s="492"/>
      <c r="G423" s="22"/>
    </row>
    <row r="424" spans="1:7">
      <c r="A424" s="22"/>
      <c r="B424" s="22"/>
      <c r="C424" s="22"/>
      <c r="D424" s="87"/>
      <c r="E424" s="496"/>
      <c r="F424" s="492"/>
      <c r="G424" s="22"/>
    </row>
    <row r="425" spans="1:7">
      <c r="A425" s="22"/>
      <c r="B425" s="22"/>
      <c r="C425" s="22"/>
      <c r="D425" s="87"/>
      <c r="E425" s="496"/>
      <c r="F425" s="492"/>
      <c r="G425" s="22"/>
    </row>
    <row r="426" spans="1:7">
      <c r="A426" s="22"/>
      <c r="B426" s="22"/>
      <c r="C426" s="22"/>
      <c r="D426" s="87"/>
      <c r="E426" s="496"/>
      <c r="F426" s="492"/>
      <c r="G426" s="22"/>
    </row>
    <row r="427" spans="1:7">
      <c r="A427" s="22"/>
      <c r="B427" s="22"/>
      <c r="C427" s="22"/>
      <c r="D427" s="87"/>
      <c r="E427" s="496"/>
      <c r="F427" s="492"/>
      <c r="G427" s="22"/>
    </row>
    <row r="428" spans="1:7">
      <c r="A428" s="22"/>
      <c r="B428" s="22"/>
      <c r="C428" s="22"/>
      <c r="D428" s="87"/>
      <c r="E428" s="496"/>
      <c r="F428" s="492"/>
      <c r="G428" s="22"/>
    </row>
    <row r="429" spans="1:7">
      <c r="A429" s="22"/>
      <c r="B429" s="22"/>
      <c r="C429" s="22"/>
      <c r="D429" s="87"/>
      <c r="E429" s="496"/>
      <c r="F429" s="492"/>
      <c r="G429" s="22"/>
    </row>
    <row r="430" spans="1:7">
      <c r="A430" s="22"/>
      <c r="B430" s="22"/>
      <c r="C430" s="22"/>
      <c r="D430" s="87"/>
      <c r="E430" s="496"/>
      <c r="F430" s="492"/>
      <c r="G430" s="22"/>
    </row>
    <row r="431" spans="1:7">
      <c r="A431" s="22"/>
      <c r="B431" s="22"/>
      <c r="C431" s="22"/>
      <c r="D431" s="87"/>
      <c r="E431" s="496"/>
      <c r="F431" s="492"/>
      <c r="G431" s="22"/>
    </row>
    <row r="432" spans="1:7">
      <c r="A432" s="22"/>
      <c r="B432" s="22"/>
      <c r="C432" s="22"/>
      <c r="D432" s="87"/>
      <c r="E432" s="496"/>
      <c r="F432" s="492"/>
      <c r="G432" s="22"/>
    </row>
    <row r="433" spans="1:7">
      <c r="A433" s="22"/>
      <c r="B433" s="22"/>
      <c r="C433" s="22"/>
      <c r="D433" s="87"/>
      <c r="E433" s="496"/>
      <c r="F433" s="492"/>
      <c r="G433" s="22"/>
    </row>
    <row r="434" spans="1:7">
      <c r="A434" s="22"/>
      <c r="B434" s="22"/>
      <c r="C434" s="22"/>
      <c r="D434" s="87"/>
      <c r="E434" s="496"/>
      <c r="F434" s="492"/>
      <c r="G434" s="22"/>
    </row>
    <row r="435" spans="1:7">
      <c r="A435" s="22"/>
      <c r="B435" s="22"/>
      <c r="C435" s="22"/>
      <c r="D435" s="87"/>
      <c r="E435" s="496"/>
      <c r="F435" s="492"/>
      <c r="G435" s="22"/>
    </row>
    <row r="436" spans="1:7">
      <c r="A436" s="22"/>
      <c r="B436" s="22"/>
      <c r="C436" s="22"/>
      <c r="D436" s="87"/>
      <c r="E436" s="496"/>
      <c r="F436" s="492"/>
      <c r="G436" s="22"/>
    </row>
    <row r="437" spans="1:7">
      <c r="A437" s="22"/>
      <c r="B437" s="22"/>
      <c r="C437" s="22"/>
      <c r="D437" s="87"/>
      <c r="E437" s="496"/>
      <c r="F437" s="492"/>
      <c r="G437" s="22"/>
    </row>
    <row r="438" spans="1:7">
      <c r="A438" s="22"/>
      <c r="B438" s="22"/>
      <c r="C438" s="22"/>
      <c r="D438" s="87"/>
      <c r="E438" s="496"/>
      <c r="F438" s="492"/>
      <c r="G438" s="22"/>
    </row>
    <row r="439" spans="1:7">
      <c r="A439" s="22"/>
      <c r="B439" s="22"/>
      <c r="C439" s="22"/>
      <c r="D439" s="87"/>
      <c r="E439" s="496"/>
      <c r="F439" s="492"/>
      <c r="G439" s="22"/>
    </row>
    <row r="440" spans="1:7">
      <c r="A440" s="22"/>
      <c r="B440" s="22"/>
      <c r="C440" s="22"/>
      <c r="D440" s="87"/>
      <c r="E440" s="496"/>
      <c r="F440" s="492"/>
      <c r="G440" s="22"/>
    </row>
    <row r="441" spans="1:7">
      <c r="A441" s="22"/>
      <c r="B441" s="22"/>
      <c r="C441" s="22"/>
      <c r="D441" s="87"/>
      <c r="E441" s="496"/>
      <c r="F441" s="492"/>
      <c r="G441" s="22"/>
    </row>
    <row r="442" spans="1:7">
      <c r="A442" s="22"/>
      <c r="B442" s="22"/>
      <c r="C442" s="22"/>
      <c r="D442" s="87"/>
      <c r="E442" s="496"/>
      <c r="F442" s="492"/>
      <c r="G442" s="22"/>
    </row>
    <row r="443" spans="1:7">
      <c r="A443" s="22"/>
      <c r="B443" s="22"/>
      <c r="C443" s="22"/>
      <c r="D443" s="87"/>
      <c r="E443" s="496"/>
      <c r="F443" s="492"/>
      <c r="G443" s="22"/>
    </row>
    <row r="444" spans="1:7">
      <c r="A444" s="22"/>
      <c r="B444" s="22"/>
      <c r="C444" s="22"/>
      <c r="D444" s="87"/>
      <c r="E444" s="496"/>
      <c r="F444" s="492"/>
      <c r="G444" s="22"/>
    </row>
    <row r="445" spans="1:7">
      <c r="A445" s="22"/>
      <c r="B445" s="22"/>
      <c r="C445" s="22"/>
      <c r="D445" s="87"/>
      <c r="E445" s="496"/>
      <c r="F445" s="492"/>
      <c r="G445" s="22"/>
    </row>
    <row r="446" spans="1:7">
      <c r="A446" s="22"/>
      <c r="B446" s="22"/>
      <c r="C446" s="22"/>
      <c r="D446" s="87"/>
      <c r="E446" s="496"/>
      <c r="F446" s="492"/>
      <c r="G446" s="22"/>
    </row>
    <row r="447" spans="1:7">
      <c r="A447" s="22"/>
      <c r="B447" s="22"/>
      <c r="C447" s="22"/>
      <c r="D447" s="87"/>
      <c r="E447" s="496"/>
      <c r="F447" s="492"/>
      <c r="G447" s="22"/>
    </row>
    <row r="448" spans="1:7">
      <c r="A448" s="22"/>
      <c r="B448" s="22"/>
      <c r="C448" s="22"/>
      <c r="D448" s="87"/>
      <c r="E448" s="496"/>
      <c r="F448" s="492"/>
      <c r="G448" s="22"/>
    </row>
    <row r="449" spans="1:7">
      <c r="A449" s="22"/>
      <c r="B449" s="22"/>
      <c r="C449" s="22"/>
      <c r="D449" s="87"/>
      <c r="E449" s="496"/>
      <c r="F449" s="492"/>
      <c r="G449" s="22"/>
    </row>
    <row r="450" spans="1:7">
      <c r="A450" s="22"/>
      <c r="B450" s="22"/>
      <c r="C450" s="22"/>
      <c r="D450" s="87"/>
      <c r="E450" s="496"/>
      <c r="F450" s="492"/>
      <c r="G450" s="22"/>
    </row>
    <row r="451" spans="1:7">
      <c r="A451" s="22"/>
      <c r="B451" s="22"/>
      <c r="C451" s="22"/>
      <c r="D451" s="87"/>
      <c r="E451" s="496"/>
      <c r="F451" s="492"/>
      <c r="G451" s="22"/>
    </row>
    <row r="452" spans="1:7">
      <c r="A452" s="22"/>
      <c r="B452" s="22"/>
      <c r="C452" s="22"/>
      <c r="D452" s="87"/>
      <c r="E452" s="496"/>
      <c r="F452" s="492"/>
      <c r="G452" s="22"/>
    </row>
    <row r="453" spans="1:7">
      <c r="A453" s="22"/>
      <c r="B453" s="22"/>
      <c r="C453" s="22"/>
      <c r="D453" s="87"/>
      <c r="E453" s="496"/>
      <c r="F453" s="492"/>
      <c r="G453" s="22"/>
    </row>
    <row r="454" spans="1:7">
      <c r="A454" s="22"/>
      <c r="B454" s="22"/>
      <c r="C454" s="22"/>
      <c r="D454" s="87"/>
      <c r="E454" s="496"/>
      <c r="F454" s="492"/>
      <c r="G454" s="22"/>
    </row>
    <row r="455" spans="1:7">
      <c r="A455" s="22"/>
      <c r="B455" s="22"/>
      <c r="C455" s="22"/>
      <c r="D455" s="87"/>
      <c r="E455" s="496"/>
      <c r="F455" s="492"/>
      <c r="G455" s="22"/>
    </row>
    <row r="456" spans="1:7">
      <c r="A456" s="22"/>
      <c r="B456" s="22"/>
      <c r="C456" s="22"/>
      <c r="D456" s="87"/>
      <c r="E456" s="496"/>
      <c r="F456" s="492"/>
      <c r="G456" s="22"/>
    </row>
    <row r="457" spans="1:7">
      <c r="A457" s="22"/>
      <c r="B457" s="22"/>
      <c r="C457" s="22"/>
      <c r="D457" s="87"/>
      <c r="E457" s="496"/>
      <c r="F457" s="492"/>
      <c r="G457" s="22"/>
    </row>
    <row r="458" spans="1:7">
      <c r="A458" s="22"/>
      <c r="B458" s="22"/>
      <c r="C458" s="22"/>
      <c r="D458" s="87"/>
      <c r="E458" s="496"/>
      <c r="F458" s="492"/>
      <c r="G458" s="22"/>
    </row>
    <row r="459" spans="1:7">
      <c r="A459" s="22"/>
      <c r="B459" s="22"/>
      <c r="C459" s="22"/>
      <c r="D459" s="87"/>
      <c r="E459" s="496"/>
      <c r="F459" s="492"/>
      <c r="G459" s="22"/>
    </row>
    <row r="460" spans="1:7">
      <c r="A460" s="22"/>
      <c r="B460" s="22"/>
      <c r="C460" s="22"/>
      <c r="D460" s="87"/>
      <c r="E460" s="496"/>
      <c r="F460" s="492"/>
      <c r="G460" s="22"/>
    </row>
    <row r="461" spans="1:7">
      <c r="A461" s="22"/>
      <c r="B461" s="22"/>
      <c r="C461" s="22"/>
      <c r="D461" s="87"/>
      <c r="E461" s="496"/>
      <c r="F461" s="492"/>
      <c r="G461" s="22"/>
    </row>
    <row r="462" spans="1:7">
      <c r="A462" s="22"/>
      <c r="B462" s="22"/>
      <c r="C462" s="22"/>
      <c r="D462" s="87"/>
      <c r="E462" s="496"/>
      <c r="F462" s="492"/>
      <c r="G462" s="22"/>
    </row>
    <row r="463" spans="1:7">
      <c r="A463" s="22"/>
      <c r="B463" s="22"/>
      <c r="C463" s="22"/>
      <c r="D463" s="87"/>
      <c r="E463" s="496"/>
      <c r="F463" s="492"/>
      <c r="G463" s="22"/>
    </row>
    <row r="464" spans="1:7">
      <c r="A464" s="22"/>
      <c r="B464" s="22"/>
      <c r="C464" s="22"/>
      <c r="D464" s="87"/>
      <c r="E464" s="496"/>
      <c r="F464" s="492"/>
      <c r="G464" s="22"/>
    </row>
    <row r="465" spans="1:7">
      <c r="A465" s="22"/>
      <c r="B465" s="22"/>
      <c r="C465" s="22"/>
      <c r="D465" s="87"/>
      <c r="E465" s="496"/>
      <c r="F465" s="492"/>
      <c r="G465" s="22"/>
    </row>
    <row r="466" spans="1:7">
      <c r="A466" s="22"/>
      <c r="B466" s="22"/>
      <c r="C466" s="22"/>
      <c r="D466" s="87"/>
      <c r="E466" s="496"/>
      <c r="F466" s="492"/>
      <c r="G466" s="22"/>
    </row>
    <row r="467" spans="1:7">
      <c r="A467" s="22"/>
      <c r="B467" s="22"/>
      <c r="C467" s="22"/>
      <c r="D467" s="87"/>
      <c r="E467" s="496"/>
      <c r="F467" s="492"/>
      <c r="G467" s="22"/>
    </row>
    <row r="468" spans="1:7">
      <c r="A468" s="22"/>
      <c r="B468" s="22"/>
      <c r="C468" s="22"/>
      <c r="D468" s="87"/>
      <c r="E468" s="496"/>
      <c r="F468" s="492"/>
      <c r="G468" s="22"/>
    </row>
    <row r="469" spans="1:7">
      <c r="A469" s="22"/>
      <c r="B469" s="22"/>
      <c r="C469" s="22"/>
      <c r="D469" s="87"/>
      <c r="E469" s="496"/>
      <c r="F469" s="492"/>
      <c r="G469" s="22"/>
    </row>
    <row r="470" spans="1:7">
      <c r="A470" s="22"/>
      <c r="B470" s="22"/>
      <c r="C470" s="22"/>
      <c r="D470" s="87"/>
      <c r="E470" s="496"/>
      <c r="F470" s="492"/>
      <c r="G470" s="22"/>
    </row>
    <row r="471" spans="1:7">
      <c r="A471" s="22"/>
      <c r="B471" s="22"/>
      <c r="C471" s="22"/>
      <c r="D471" s="87"/>
      <c r="E471" s="496"/>
      <c r="F471" s="492"/>
      <c r="G471" s="22"/>
    </row>
    <row r="472" spans="1:7">
      <c r="A472" s="22"/>
      <c r="B472" s="22"/>
      <c r="C472" s="22"/>
      <c r="D472" s="87"/>
      <c r="E472" s="496"/>
      <c r="F472" s="492"/>
      <c r="G472" s="22"/>
    </row>
    <row r="473" spans="1:7">
      <c r="A473" s="22"/>
      <c r="B473" s="22"/>
      <c r="C473" s="22"/>
      <c r="D473" s="87"/>
      <c r="E473" s="496"/>
      <c r="F473" s="492"/>
      <c r="G473" s="22"/>
    </row>
    <row r="474" spans="1:7">
      <c r="A474" s="22"/>
      <c r="B474" s="22"/>
      <c r="C474" s="22"/>
      <c r="D474" s="87"/>
      <c r="E474" s="496"/>
      <c r="F474" s="492"/>
      <c r="G474" s="22"/>
    </row>
    <row r="475" spans="1:7">
      <c r="A475" s="22"/>
      <c r="B475" s="22"/>
      <c r="C475" s="22"/>
      <c r="D475" s="87"/>
      <c r="E475" s="496"/>
      <c r="F475" s="492"/>
      <c r="G475" s="22"/>
    </row>
    <row r="476" spans="1:7">
      <c r="A476" s="22"/>
      <c r="B476" s="22"/>
      <c r="C476" s="22"/>
      <c r="D476" s="87"/>
      <c r="E476" s="496"/>
      <c r="F476" s="492"/>
      <c r="G476" s="22"/>
    </row>
    <row r="477" spans="1:7">
      <c r="A477" s="22"/>
      <c r="B477" s="22"/>
      <c r="C477" s="22"/>
      <c r="D477" s="87"/>
      <c r="E477" s="496"/>
      <c r="F477" s="492"/>
      <c r="G477" s="22"/>
    </row>
    <row r="478" spans="1:7">
      <c r="A478" s="22"/>
      <c r="B478" s="22"/>
      <c r="C478" s="22"/>
      <c r="D478" s="87"/>
      <c r="E478" s="496"/>
      <c r="F478" s="492"/>
      <c r="G478" s="22"/>
    </row>
    <row r="479" spans="1:7">
      <c r="A479" s="22"/>
      <c r="B479" s="22"/>
      <c r="C479" s="22"/>
      <c r="D479" s="87"/>
      <c r="E479" s="496"/>
      <c r="F479" s="492"/>
      <c r="G479" s="22"/>
    </row>
    <row r="480" spans="1:7">
      <c r="A480" s="22"/>
      <c r="B480" s="22"/>
      <c r="C480" s="22"/>
      <c r="D480" s="87"/>
      <c r="E480" s="496"/>
      <c r="F480" s="492"/>
      <c r="G480" s="22"/>
    </row>
    <row r="481" spans="1:7">
      <c r="A481" s="22"/>
      <c r="B481" s="22"/>
      <c r="C481" s="22"/>
      <c r="D481" s="87"/>
      <c r="E481" s="496"/>
      <c r="F481" s="492"/>
      <c r="G481" s="22"/>
    </row>
    <row r="482" spans="1:7">
      <c r="A482" s="22"/>
      <c r="B482" s="22"/>
      <c r="C482" s="22"/>
      <c r="D482" s="87"/>
      <c r="E482" s="496"/>
      <c r="F482" s="492"/>
      <c r="G482" s="22"/>
    </row>
    <row r="483" spans="1:7">
      <c r="A483" s="22"/>
      <c r="B483" s="22"/>
      <c r="C483" s="22"/>
      <c r="D483" s="87"/>
      <c r="E483" s="496"/>
      <c r="F483" s="492"/>
      <c r="G483" s="22"/>
    </row>
    <row r="484" spans="1:7">
      <c r="A484" s="22"/>
      <c r="B484" s="22"/>
      <c r="C484" s="22"/>
      <c r="D484" s="87"/>
      <c r="E484" s="496"/>
      <c r="F484" s="492"/>
      <c r="G484" s="22"/>
    </row>
    <row r="485" spans="1:7">
      <c r="A485" s="22"/>
      <c r="B485" s="22"/>
      <c r="C485" s="22"/>
      <c r="D485" s="87"/>
      <c r="E485" s="496"/>
      <c r="F485" s="492"/>
      <c r="G485" s="22"/>
    </row>
    <row r="486" spans="1:7">
      <c r="A486" s="22"/>
      <c r="B486" s="22"/>
      <c r="C486" s="22"/>
      <c r="D486" s="87"/>
      <c r="E486" s="496"/>
      <c r="F486" s="492"/>
      <c r="G486" s="22"/>
    </row>
    <row r="487" spans="1:7">
      <c r="A487" s="22"/>
      <c r="B487" s="22"/>
      <c r="C487" s="22"/>
      <c r="D487" s="87"/>
      <c r="E487" s="496"/>
      <c r="F487" s="492"/>
      <c r="G487" s="22"/>
    </row>
    <row r="488" spans="1:7">
      <c r="A488" s="22"/>
      <c r="B488" s="22"/>
      <c r="C488" s="22"/>
      <c r="D488" s="87"/>
      <c r="E488" s="496"/>
      <c r="F488" s="492"/>
      <c r="G488" s="22"/>
    </row>
    <row r="489" spans="1:7">
      <c r="A489" s="22"/>
      <c r="B489" s="22"/>
      <c r="C489" s="22"/>
      <c r="D489" s="87"/>
      <c r="E489" s="496"/>
      <c r="F489" s="492"/>
      <c r="G489" s="22"/>
    </row>
    <row r="490" spans="1:7">
      <c r="A490" s="22"/>
      <c r="B490" s="22"/>
      <c r="C490" s="22"/>
      <c r="D490" s="87"/>
      <c r="E490" s="496"/>
      <c r="F490" s="492"/>
      <c r="G490" s="22"/>
    </row>
    <row r="491" spans="1:7">
      <c r="A491" s="22"/>
      <c r="B491" s="22"/>
      <c r="C491" s="22"/>
      <c r="D491" s="87"/>
      <c r="E491" s="496"/>
      <c r="F491" s="492"/>
      <c r="G491" s="22"/>
    </row>
    <row r="492" spans="1:7">
      <c r="A492" s="22"/>
      <c r="B492" s="22"/>
      <c r="C492" s="22"/>
      <c r="D492" s="87"/>
      <c r="E492" s="496"/>
      <c r="F492" s="492"/>
      <c r="G492" s="22"/>
    </row>
    <row r="493" spans="1:7">
      <c r="A493" s="22"/>
      <c r="B493" s="22"/>
      <c r="C493" s="22"/>
      <c r="D493" s="87"/>
      <c r="E493" s="496"/>
      <c r="F493" s="492"/>
      <c r="G493" s="22"/>
    </row>
    <row r="494" spans="1:7">
      <c r="A494" s="22"/>
      <c r="B494" s="22"/>
      <c r="C494" s="22"/>
      <c r="D494" s="87"/>
      <c r="E494" s="496"/>
      <c r="F494" s="492"/>
      <c r="G494" s="22"/>
    </row>
    <row r="495" spans="1:7">
      <c r="A495" s="22"/>
      <c r="B495" s="22"/>
      <c r="C495" s="22"/>
      <c r="D495" s="87"/>
      <c r="E495" s="496"/>
      <c r="F495" s="492"/>
      <c r="G495" s="22"/>
    </row>
    <row r="496" spans="1:7">
      <c r="A496" s="22"/>
      <c r="B496" s="22"/>
      <c r="C496" s="22"/>
      <c r="D496" s="87"/>
      <c r="E496" s="496"/>
      <c r="F496" s="492"/>
      <c r="G496" s="22"/>
    </row>
    <row r="497" spans="1:7">
      <c r="A497" s="22"/>
      <c r="B497" s="22"/>
      <c r="C497" s="22"/>
      <c r="D497" s="87"/>
      <c r="E497" s="496"/>
      <c r="F497" s="492"/>
      <c r="G497" s="22"/>
    </row>
    <row r="498" spans="1:7">
      <c r="A498" s="22"/>
      <c r="B498" s="22"/>
      <c r="C498" s="22"/>
      <c r="D498" s="87"/>
      <c r="E498" s="496"/>
      <c r="F498" s="492"/>
      <c r="G498" s="22"/>
    </row>
    <row r="499" spans="1:7">
      <c r="A499" s="22"/>
      <c r="B499" s="22"/>
      <c r="C499" s="22"/>
      <c r="D499" s="87"/>
      <c r="E499" s="496"/>
      <c r="F499" s="492"/>
      <c r="G499" s="22"/>
    </row>
    <row r="500" spans="1:7">
      <c r="A500" s="22"/>
      <c r="B500" s="22"/>
      <c r="C500" s="22"/>
      <c r="D500" s="87"/>
      <c r="E500" s="496"/>
      <c r="F500" s="492"/>
      <c r="G500" s="22"/>
    </row>
    <row r="501" spans="1:7">
      <c r="A501" s="22"/>
      <c r="B501" s="22"/>
      <c r="C501" s="22"/>
      <c r="D501" s="87"/>
      <c r="E501" s="496"/>
      <c r="F501" s="492"/>
      <c r="G501" s="22"/>
    </row>
    <row r="502" spans="1:7">
      <c r="A502" s="22"/>
      <c r="B502" s="22"/>
      <c r="C502" s="22"/>
      <c r="D502" s="87"/>
      <c r="E502" s="496"/>
      <c r="F502" s="492"/>
      <c r="G502" s="22"/>
    </row>
    <row r="503" spans="1:7">
      <c r="A503" s="22"/>
      <c r="B503" s="22"/>
      <c r="C503" s="22"/>
      <c r="D503" s="87"/>
      <c r="E503" s="496"/>
      <c r="F503" s="492"/>
      <c r="G503" s="22"/>
    </row>
    <row r="504" spans="1:7">
      <c r="A504" s="22"/>
      <c r="B504" s="22"/>
      <c r="C504" s="22"/>
      <c r="D504" s="87"/>
      <c r="E504" s="496"/>
      <c r="F504" s="492"/>
      <c r="G504" s="22"/>
    </row>
    <row r="505" spans="1:7">
      <c r="A505" s="22"/>
      <c r="B505" s="22"/>
      <c r="C505" s="22"/>
      <c r="D505" s="87"/>
      <c r="E505" s="496"/>
      <c r="F505" s="492"/>
      <c r="G505" s="22"/>
    </row>
    <row r="506" spans="1:7">
      <c r="A506" s="22"/>
      <c r="B506" s="22"/>
      <c r="C506" s="22"/>
      <c r="D506" s="87"/>
      <c r="E506" s="496"/>
      <c r="F506" s="492"/>
      <c r="G506" s="22"/>
    </row>
    <row r="507" spans="1:7">
      <c r="A507" s="22"/>
      <c r="B507" s="22"/>
      <c r="C507" s="22"/>
      <c r="D507" s="87"/>
      <c r="E507" s="496"/>
      <c r="F507" s="492"/>
      <c r="G507" s="22"/>
    </row>
    <row r="508" spans="1:7">
      <c r="A508" s="22"/>
      <c r="B508" s="22"/>
      <c r="C508" s="22"/>
      <c r="D508" s="87"/>
      <c r="E508" s="496"/>
      <c r="F508" s="492"/>
      <c r="G508" s="22"/>
    </row>
    <row r="509" spans="1:7">
      <c r="A509" s="22"/>
      <c r="B509" s="22"/>
      <c r="C509" s="22"/>
      <c r="D509" s="87"/>
      <c r="E509" s="496"/>
      <c r="F509" s="492"/>
      <c r="G509" s="22"/>
    </row>
    <row r="510" spans="1:7">
      <c r="A510" s="22"/>
      <c r="B510" s="22"/>
      <c r="C510" s="22"/>
      <c r="D510" s="87"/>
      <c r="E510" s="496"/>
      <c r="F510" s="492"/>
      <c r="G510" s="22"/>
    </row>
    <row r="511" spans="1:7">
      <c r="A511" s="22"/>
      <c r="B511" s="22"/>
      <c r="C511" s="22"/>
      <c r="D511" s="87"/>
      <c r="E511" s="496"/>
      <c r="F511" s="492"/>
      <c r="G511" s="22"/>
    </row>
    <row r="512" spans="1:7">
      <c r="A512" s="22"/>
      <c r="B512" s="22"/>
      <c r="C512" s="22"/>
      <c r="D512" s="87"/>
      <c r="E512" s="496"/>
      <c r="F512" s="492"/>
      <c r="G512" s="22"/>
    </row>
    <row r="513" spans="1:7">
      <c r="A513" s="22"/>
      <c r="B513" s="22"/>
      <c r="C513" s="22"/>
      <c r="D513" s="87"/>
      <c r="E513" s="496"/>
      <c r="F513" s="492"/>
      <c r="G513" s="22"/>
    </row>
    <row r="514" spans="1:7">
      <c r="A514" s="22"/>
      <c r="B514" s="22"/>
      <c r="C514" s="22"/>
      <c r="D514" s="87"/>
      <c r="E514" s="496"/>
      <c r="F514" s="492"/>
      <c r="G514" s="22"/>
    </row>
    <row r="515" spans="1:7">
      <c r="A515" s="22"/>
      <c r="B515" s="22"/>
      <c r="C515" s="22"/>
      <c r="D515" s="87"/>
      <c r="E515" s="496"/>
      <c r="F515" s="492"/>
      <c r="G515" s="22"/>
    </row>
    <row r="516" spans="1:7">
      <c r="A516" s="22"/>
      <c r="B516" s="22"/>
      <c r="C516" s="22"/>
      <c r="D516" s="87"/>
      <c r="E516" s="496"/>
      <c r="F516" s="492"/>
      <c r="G516" s="22"/>
    </row>
    <row r="517" spans="1:7">
      <c r="A517" s="22"/>
      <c r="B517" s="22"/>
      <c r="C517" s="22"/>
      <c r="D517" s="87"/>
      <c r="E517" s="496"/>
      <c r="F517" s="492"/>
      <c r="G517" s="22"/>
    </row>
    <row r="518" spans="1:7">
      <c r="A518" s="22"/>
      <c r="B518" s="22"/>
      <c r="C518" s="22"/>
      <c r="D518" s="87"/>
      <c r="E518" s="496"/>
      <c r="F518" s="492"/>
      <c r="G518" s="22"/>
    </row>
    <row r="519" spans="1:7">
      <c r="A519" s="22"/>
      <c r="B519" s="22"/>
      <c r="C519" s="22"/>
      <c r="D519" s="87"/>
      <c r="E519" s="496"/>
      <c r="F519" s="492"/>
      <c r="G519" s="22"/>
    </row>
    <row r="520" spans="1:7">
      <c r="A520" s="22"/>
      <c r="B520" s="22"/>
      <c r="C520" s="22"/>
      <c r="D520" s="87"/>
      <c r="E520" s="496"/>
      <c r="F520" s="492"/>
      <c r="G520" s="22"/>
    </row>
    <row r="521" spans="1:7">
      <c r="A521" s="22"/>
      <c r="B521" s="22"/>
      <c r="C521" s="22"/>
      <c r="D521" s="87"/>
      <c r="E521" s="496"/>
      <c r="F521" s="492"/>
      <c r="G521" s="22"/>
    </row>
    <row r="522" spans="1:7">
      <c r="A522" s="22"/>
      <c r="B522" s="22"/>
      <c r="C522" s="22"/>
      <c r="D522" s="87"/>
      <c r="E522" s="496"/>
      <c r="F522" s="492"/>
      <c r="G522" s="22"/>
    </row>
    <row r="523" spans="1:7">
      <c r="A523" s="22"/>
      <c r="B523" s="22"/>
      <c r="C523" s="22"/>
      <c r="D523" s="87"/>
      <c r="E523" s="496"/>
      <c r="F523" s="492"/>
      <c r="G523" s="22"/>
    </row>
    <row r="524" spans="1:7">
      <c r="A524" s="22"/>
      <c r="B524" s="22"/>
      <c r="C524" s="22"/>
      <c r="D524" s="87"/>
      <c r="E524" s="496"/>
      <c r="F524" s="492"/>
      <c r="G524" s="22"/>
    </row>
    <row r="525" spans="1:7">
      <c r="A525" s="22"/>
      <c r="B525" s="22"/>
      <c r="C525" s="22"/>
      <c r="D525" s="87"/>
      <c r="E525" s="496"/>
      <c r="F525" s="492"/>
      <c r="G525" s="22"/>
    </row>
    <row r="526" spans="1:7">
      <c r="A526" s="22"/>
      <c r="B526" s="22"/>
      <c r="C526" s="22"/>
      <c r="D526" s="87"/>
      <c r="E526" s="496"/>
      <c r="F526" s="492"/>
      <c r="G526" s="22"/>
    </row>
    <row r="527" spans="1:7">
      <c r="A527" s="22"/>
      <c r="B527" s="22"/>
      <c r="C527" s="22"/>
      <c r="D527" s="87"/>
      <c r="E527" s="496"/>
      <c r="F527" s="492"/>
      <c r="G527" s="22"/>
    </row>
    <row r="528" spans="1:7">
      <c r="A528" s="22"/>
      <c r="B528" s="22"/>
      <c r="C528" s="22"/>
      <c r="D528" s="87"/>
      <c r="E528" s="496"/>
      <c r="F528" s="492"/>
      <c r="G528" s="22"/>
    </row>
    <row r="529" spans="1:7">
      <c r="A529" s="22"/>
      <c r="B529" s="22"/>
      <c r="C529" s="22"/>
      <c r="D529" s="87"/>
      <c r="E529" s="496"/>
      <c r="F529" s="492"/>
      <c r="G529" s="22"/>
    </row>
    <row r="530" spans="1:7">
      <c r="A530" s="22"/>
      <c r="B530" s="22"/>
      <c r="C530" s="22"/>
      <c r="D530" s="87"/>
      <c r="E530" s="496"/>
      <c r="F530" s="492"/>
      <c r="G530" s="22"/>
    </row>
    <row r="531" spans="1:7">
      <c r="A531" s="22"/>
      <c r="B531" s="22"/>
      <c r="C531" s="22"/>
      <c r="D531" s="87"/>
      <c r="E531" s="496"/>
      <c r="F531" s="492"/>
      <c r="G531" s="22"/>
    </row>
    <row r="532" spans="1:7">
      <c r="A532" s="22"/>
      <c r="B532" s="22"/>
      <c r="C532" s="22"/>
      <c r="D532" s="87"/>
      <c r="E532" s="496"/>
      <c r="F532" s="492"/>
      <c r="G532" s="22"/>
    </row>
    <row r="533" spans="1:7">
      <c r="A533" s="22"/>
      <c r="B533" s="22"/>
      <c r="C533" s="22"/>
      <c r="D533" s="87"/>
      <c r="E533" s="496"/>
      <c r="F533" s="492"/>
      <c r="G533" s="22"/>
    </row>
    <row r="534" spans="1:7">
      <c r="A534" s="22"/>
      <c r="B534" s="22"/>
      <c r="C534" s="22"/>
      <c r="D534" s="87"/>
      <c r="E534" s="496"/>
      <c r="F534" s="492"/>
      <c r="G534" s="22"/>
    </row>
    <row r="535" spans="1:7">
      <c r="A535" s="22"/>
      <c r="B535" s="22"/>
      <c r="C535" s="22"/>
      <c r="D535" s="87"/>
      <c r="E535" s="496"/>
      <c r="F535" s="492"/>
      <c r="G535" s="22"/>
    </row>
    <row r="536" spans="1:7">
      <c r="A536" s="22"/>
      <c r="B536" s="22"/>
      <c r="C536" s="22"/>
      <c r="D536" s="87"/>
      <c r="E536" s="496"/>
      <c r="F536" s="492"/>
      <c r="G536" s="22"/>
    </row>
    <row r="537" spans="1:7">
      <c r="A537" s="22"/>
      <c r="B537" s="22"/>
      <c r="C537" s="22"/>
      <c r="D537" s="87"/>
      <c r="E537" s="496"/>
      <c r="F537" s="492"/>
      <c r="G537" s="22"/>
    </row>
    <row r="538" spans="1:7">
      <c r="A538" s="22"/>
      <c r="B538" s="22"/>
      <c r="C538" s="22"/>
      <c r="D538" s="87"/>
      <c r="E538" s="496"/>
      <c r="F538" s="492"/>
      <c r="G538" s="22"/>
    </row>
    <row r="539" spans="1:7">
      <c r="A539" s="22"/>
      <c r="B539" s="22"/>
      <c r="C539" s="22"/>
      <c r="D539" s="87"/>
      <c r="E539" s="496"/>
      <c r="F539" s="492"/>
      <c r="G539" s="22"/>
    </row>
    <row r="540" spans="1:7">
      <c r="A540" s="22"/>
      <c r="B540" s="22"/>
      <c r="C540" s="22"/>
      <c r="D540" s="87"/>
      <c r="E540" s="496"/>
      <c r="F540" s="492"/>
      <c r="G540" s="22"/>
    </row>
    <row r="541" spans="1:7">
      <c r="A541" s="22"/>
      <c r="B541" s="22"/>
      <c r="C541" s="22"/>
      <c r="D541" s="87"/>
      <c r="E541" s="496"/>
      <c r="F541" s="492"/>
      <c r="G541" s="22"/>
    </row>
    <row r="542" spans="1:7">
      <c r="A542" s="22"/>
      <c r="B542" s="22"/>
      <c r="C542" s="22"/>
      <c r="D542" s="87"/>
      <c r="E542" s="496"/>
      <c r="F542" s="492"/>
      <c r="G542" s="22"/>
    </row>
    <row r="543" spans="1:7">
      <c r="A543" s="22"/>
      <c r="B543" s="22"/>
      <c r="C543" s="22"/>
      <c r="D543" s="87"/>
      <c r="E543" s="496"/>
      <c r="F543" s="492"/>
      <c r="G543" s="22"/>
    </row>
    <row r="544" spans="1:7">
      <c r="A544" s="22"/>
      <c r="B544" s="22"/>
      <c r="C544" s="22"/>
      <c r="D544" s="87"/>
      <c r="E544" s="496"/>
      <c r="F544" s="492"/>
      <c r="G544" s="22"/>
    </row>
    <row r="545" spans="1:7">
      <c r="A545" s="22"/>
      <c r="B545" s="22"/>
      <c r="C545" s="22"/>
      <c r="D545" s="87"/>
      <c r="E545" s="496"/>
      <c r="F545" s="492"/>
      <c r="G545" s="22"/>
    </row>
    <row r="546" spans="1:7">
      <c r="A546" s="22"/>
      <c r="B546" s="22"/>
      <c r="C546" s="22"/>
      <c r="D546" s="87"/>
      <c r="E546" s="496"/>
      <c r="F546" s="492"/>
      <c r="G546" s="22"/>
    </row>
    <row r="547" spans="1:7">
      <c r="A547" s="22"/>
      <c r="B547" s="22"/>
      <c r="C547" s="22"/>
      <c r="D547" s="87"/>
      <c r="E547" s="496"/>
      <c r="F547" s="492"/>
      <c r="G547" s="22"/>
    </row>
    <row r="548" spans="1:7">
      <c r="A548" s="22"/>
      <c r="B548" s="22"/>
      <c r="C548" s="22"/>
      <c r="D548" s="87"/>
      <c r="E548" s="496"/>
      <c r="F548" s="492"/>
      <c r="G548" s="22"/>
    </row>
    <row r="549" spans="1:7">
      <c r="A549" s="22"/>
      <c r="B549" s="22"/>
      <c r="C549" s="22"/>
      <c r="D549" s="87"/>
      <c r="E549" s="496"/>
      <c r="F549" s="492"/>
      <c r="G549" s="22"/>
    </row>
    <row r="550" spans="1:7">
      <c r="A550" s="22"/>
      <c r="B550" s="22"/>
      <c r="C550" s="22"/>
      <c r="D550" s="87"/>
      <c r="E550" s="496"/>
      <c r="F550" s="492"/>
      <c r="G550" s="22"/>
    </row>
    <row r="551" spans="1:7">
      <c r="A551" s="22"/>
      <c r="B551" s="22"/>
      <c r="C551" s="22"/>
      <c r="D551" s="87"/>
      <c r="E551" s="496"/>
      <c r="F551" s="492"/>
      <c r="G551" s="22"/>
    </row>
    <row r="552" spans="1:7">
      <c r="A552" s="22"/>
      <c r="B552" s="22"/>
      <c r="C552" s="22"/>
      <c r="D552" s="87"/>
      <c r="E552" s="496"/>
      <c r="F552" s="492"/>
      <c r="G552" s="22"/>
    </row>
    <row r="553" spans="1:7">
      <c r="A553" s="22"/>
      <c r="B553" s="22"/>
      <c r="C553" s="22"/>
      <c r="D553" s="87"/>
      <c r="E553" s="496"/>
      <c r="F553" s="492"/>
      <c r="G553" s="22"/>
    </row>
    <row r="554" spans="1:7">
      <c r="A554" s="22"/>
      <c r="B554" s="22"/>
      <c r="C554" s="22"/>
      <c r="D554" s="87"/>
      <c r="E554" s="496"/>
      <c r="F554" s="492"/>
      <c r="G554" s="22"/>
    </row>
    <row r="555" spans="1:7">
      <c r="A555" s="22"/>
      <c r="B555" s="22"/>
      <c r="C555" s="22"/>
      <c r="D555" s="87"/>
      <c r="E555" s="496"/>
      <c r="F555" s="492"/>
      <c r="G555" s="22"/>
    </row>
    <row r="556" spans="1:7">
      <c r="A556" s="22"/>
      <c r="B556" s="22"/>
      <c r="C556" s="22"/>
      <c r="D556" s="87"/>
      <c r="E556" s="496"/>
      <c r="F556" s="492"/>
      <c r="G556" s="22"/>
    </row>
    <row r="557" spans="1:7">
      <c r="A557" s="22"/>
      <c r="B557" s="22"/>
      <c r="C557" s="22"/>
      <c r="D557" s="87"/>
      <c r="E557" s="496"/>
      <c r="F557" s="492"/>
      <c r="G557" s="22"/>
    </row>
    <row r="558" spans="1:7">
      <c r="A558" s="22"/>
      <c r="B558" s="22"/>
      <c r="C558" s="22"/>
      <c r="D558" s="87"/>
      <c r="E558" s="496"/>
      <c r="F558" s="492"/>
      <c r="G558" s="22"/>
    </row>
    <row r="559" spans="1:7">
      <c r="A559" s="22"/>
      <c r="B559" s="22"/>
      <c r="C559" s="22"/>
      <c r="D559" s="87"/>
      <c r="E559" s="496"/>
      <c r="F559" s="492"/>
      <c r="G559" s="22"/>
    </row>
    <row r="560" spans="1:7">
      <c r="A560" s="22"/>
      <c r="B560" s="22"/>
      <c r="C560" s="22"/>
      <c r="D560" s="87"/>
      <c r="E560" s="496"/>
      <c r="F560" s="492"/>
      <c r="G560" s="22"/>
    </row>
    <row r="561" spans="1:7">
      <c r="A561" s="22"/>
      <c r="B561" s="22"/>
      <c r="C561" s="22"/>
      <c r="D561" s="87"/>
      <c r="E561" s="496"/>
      <c r="F561" s="492"/>
      <c r="G561" s="22"/>
    </row>
    <row r="562" spans="1:7">
      <c r="A562" s="22"/>
      <c r="B562" s="22"/>
      <c r="C562" s="22"/>
      <c r="D562" s="87"/>
      <c r="E562" s="496"/>
      <c r="F562" s="492"/>
      <c r="G562" s="22"/>
    </row>
    <row r="563" spans="1:7">
      <c r="A563" s="22"/>
      <c r="B563" s="22"/>
      <c r="C563" s="22"/>
      <c r="D563" s="87"/>
      <c r="E563" s="496"/>
      <c r="F563" s="492"/>
      <c r="G563" s="22"/>
    </row>
    <row r="564" spans="1:7">
      <c r="A564" s="22"/>
      <c r="B564" s="22"/>
      <c r="C564" s="22"/>
      <c r="D564" s="87"/>
      <c r="E564" s="496"/>
      <c r="F564" s="492"/>
      <c r="G564" s="22"/>
    </row>
    <row r="565" spans="1:7">
      <c r="A565" s="22"/>
      <c r="B565" s="22"/>
      <c r="C565" s="22"/>
      <c r="D565" s="87"/>
      <c r="E565" s="496"/>
      <c r="F565" s="492"/>
      <c r="G565" s="22"/>
    </row>
    <row r="566" spans="1:7">
      <c r="A566" s="22"/>
      <c r="B566" s="22"/>
      <c r="C566" s="22"/>
      <c r="D566" s="87"/>
      <c r="E566" s="496"/>
      <c r="F566" s="492"/>
      <c r="G566" s="22"/>
    </row>
    <row r="567" spans="1:7">
      <c r="A567" s="22"/>
      <c r="B567" s="22"/>
      <c r="C567" s="22"/>
      <c r="D567" s="87"/>
      <c r="E567" s="496"/>
      <c r="F567" s="492"/>
      <c r="G567" s="22"/>
    </row>
    <row r="568" spans="1:7">
      <c r="A568" s="22"/>
      <c r="B568" s="22"/>
      <c r="C568" s="22"/>
      <c r="D568" s="87"/>
      <c r="E568" s="496"/>
      <c r="F568" s="492"/>
      <c r="G568" s="22"/>
    </row>
    <row r="569" spans="1:7">
      <c r="A569" s="22"/>
      <c r="B569" s="22"/>
      <c r="C569" s="22"/>
      <c r="D569" s="87"/>
      <c r="E569" s="496"/>
      <c r="F569" s="492"/>
      <c r="G569" s="22"/>
    </row>
    <row r="570" spans="1:7">
      <c r="A570" s="22"/>
      <c r="B570" s="22"/>
      <c r="C570" s="22"/>
      <c r="D570" s="87"/>
      <c r="E570" s="496"/>
      <c r="F570" s="492"/>
      <c r="G570" s="22"/>
    </row>
    <row r="571" spans="1:7">
      <c r="A571" s="22"/>
      <c r="B571" s="22"/>
      <c r="C571" s="22"/>
      <c r="D571" s="87"/>
      <c r="E571" s="496"/>
      <c r="F571" s="492"/>
      <c r="G571" s="22"/>
    </row>
    <row r="572" spans="1:7">
      <c r="A572" s="22"/>
      <c r="B572" s="22"/>
      <c r="C572" s="22"/>
      <c r="D572" s="87"/>
      <c r="E572" s="496"/>
      <c r="F572" s="492"/>
      <c r="G572" s="22"/>
    </row>
    <row r="573" spans="1:7">
      <c r="A573" s="22"/>
      <c r="B573" s="22"/>
      <c r="C573" s="22"/>
      <c r="D573" s="87"/>
      <c r="E573" s="496"/>
      <c r="F573" s="492"/>
      <c r="G573" s="22"/>
    </row>
    <row r="574" spans="1:7">
      <c r="A574" s="22"/>
      <c r="B574" s="22"/>
      <c r="C574" s="22"/>
      <c r="D574" s="87"/>
      <c r="E574" s="496"/>
      <c r="F574" s="492"/>
      <c r="G574" s="22"/>
    </row>
    <row r="575" spans="1:7">
      <c r="A575" s="22"/>
      <c r="B575" s="22"/>
      <c r="C575" s="22"/>
      <c r="D575" s="87"/>
      <c r="E575" s="496"/>
      <c r="F575" s="492"/>
      <c r="G575" s="22"/>
    </row>
    <row r="576" spans="1:7">
      <c r="A576" s="22"/>
      <c r="B576" s="22"/>
      <c r="C576" s="22"/>
      <c r="D576" s="87"/>
      <c r="E576" s="496"/>
      <c r="F576" s="492"/>
      <c r="G576" s="22"/>
    </row>
    <row r="577" spans="1:7">
      <c r="A577" s="22"/>
      <c r="B577" s="22"/>
      <c r="C577" s="22"/>
      <c r="D577" s="87"/>
      <c r="E577" s="496"/>
      <c r="F577" s="492"/>
      <c r="G577" s="22"/>
    </row>
    <row r="578" spans="1:7">
      <c r="A578" s="22"/>
      <c r="B578" s="22"/>
      <c r="C578" s="22"/>
      <c r="D578" s="87"/>
      <c r="E578" s="496"/>
      <c r="F578" s="492"/>
      <c r="G578" s="22"/>
    </row>
    <row r="579" spans="1:7">
      <c r="A579" s="22"/>
      <c r="B579" s="22"/>
      <c r="C579" s="22"/>
      <c r="D579" s="87"/>
      <c r="E579" s="496"/>
      <c r="F579" s="492"/>
      <c r="G579" s="22"/>
    </row>
    <row r="580" spans="1:7">
      <c r="A580" s="22"/>
      <c r="B580" s="22"/>
      <c r="C580" s="22"/>
      <c r="D580" s="87"/>
      <c r="E580" s="496"/>
      <c r="F580" s="492"/>
      <c r="G580" s="22"/>
    </row>
    <row r="581" spans="1:7">
      <c r="A581" s="22"/>
      <c r="B581" s="22"/>
      <c r="C581" s="22"/>
      <c r="D581" s="87"/>
      <c r="E581" s="496"/>
      <c r="F581" s="492"/>
      <c r="G581" s="22"/>
    </row>
    <row r="582" spans="1:7">
      <c r="A582" s="22"/>
      <c r="B582" s="22"/>
      <c r="C582" s="22"/>
      <c r="D582" s="87"/>
      <c r="E582" s="496"/>
      <c r="F582" s="492"/>
      <c r="G582" s="22"/>
    </row>
    <row r="583" spans="1:7">
      <c r="A583" s="22"/>
      <c r="B583" s="22"/>
      <c r="C583" s="22"/>
      <c r="D583" s="87"/>
      <c r="E583" s="496"/>
      <c r="F583" s="492"/>
      <c r="G583" s="22"/>
    </row>
    <row r="584" spans="1:7">
      <c r="A584" s="22"/>
      <c r="B584" s="22"/>
      <c r="C584" s="22"/>
      <c r="D584" s="87"/>
      <c r="E584" s="496"/>
      <c r="F584" s="492"/>
      <c r="G584" s="22"/>
    </row>
    <row r="585" spans="1:7">
      <c r="A585" s="22"/>
      <c r="B585" s="22"/>
      <c r="C585" s="22"/>
      <c r="D585" s="87"/>
      <c r="E585" s="496"/>
      <c r="F585" s="492"/>
      <c r="G585" s="22"/>
    </row>
    <row r="586" spans="1:7">
      <c r="A586" s="22"/>
      <c r="B586" s="22"/>
      <c r="C586" s="22"/>
      <c r="D586" s="87"/>
      <c r="E586" s="496"/>
      <c r="F586" s="492"/>
      <c r="G586" s="22"/>
    </row>
    <row r="587" spans="1:7">
      <c r="A587" s="22"/>
      <c r="B587" s="22"/>
      <c r="C587" s="22"/>
      <c r="D587" s="87"/>
      <c r="E587" s="496"/>
      <c r="F587" s="492"/>
      <c r="G587" s="22"/>
    </row>
    <row r="588" spans="1:7">
      <c r="A588" s="22"/>
      <c r="B588" s="22"/>
      <c r="C588" s="22"/>
      <c r="D588" s="87"/>
      <c r="E588" s="496"/>
      <c r="F588" s="492"/>
      <c r="G588" s="22"/>
    </row>
    <row r="589" spans="1:7">
      <c r="A589" s="22"/>
      <c r="B589" s="22"/>
      <c r="C589" s="22"/>
      <c r="D589" s="87"/>
      <c r="E589" s="496"/>
      <c r="F589" s="492"/>
      <c r="G589" s="22"/>
    </row>
    <row r="590" spans="1:7">
      <c r="A590" s="22"/>
      <c r="B590" s="22"/>
      <c r="C590" s="22"/>
      <c r="D590" s="87"/>
      <c r="E590" s="496"/>
      <c r="F590" s="492"/>
      <c r="G590" s="22"/>
    </row>
    <row r="591" spans="1:7">
      <c r="A591" s="22"/>
      <c r="B591" s="22"/>
      <c r="C591" s="22"/>
      <c r="D591" s="87"/>
      <c r="E591" s="496"/>
      <c r="F591" s="492"/>
      <c r="G591" s="22"/>
    </row>
    <row r="592" spans="1:7">
      <c r="A592" s="22"/>
      <c r="B592" s="22"/>
      <c r="C592" s="22"/>
      <c r="D592" s="87"/>
      <c r="E592" s="496"/>
      <c r="F592" s="492"/>
      <c r="G592" s="22"/>
    </row>
    <row r="593" spans="1:7">
      <c r="A593" s="22"/>
      <c r="B593" s="22"/>
      <c r="C593" s="22"/>
      <c r="D593" s="87"/>
      <c r="E593" s="496"/>
      <c r="F593" s="492"/>
      <c r="G593" s="22"/>
    </row>
    <row r="594" spans="1:7">
      <c r="A594" s="22"/>
      <c r="B594" s="22"/>
      <c r="C594" s="22"/>
      <c r="D594" s="87"/>
      <c r="E594" s="496"/>
      <c r="F594" s="492"/>
      <c r="G594" s="22"/>
    </row>
    <row r="595" spans="1:7">
      <c r="A595" s="22"/>
      <c r="B595" s="22"/>
      <c r="C595" s="22"/>
      <c r="D595" s="87"/>
      <c r="E595" s="496"/>
      <c r="F595" s="492"/>
      <c r="G595" s="22"/>
    </row>
    <row r="596" spans="1:7">
      <c r="A596" s="22"/>
      <c r="B596" s="22"/>
      <c r="C596" s="22"/>
      <c r="D596" s="87"/>
      <c r="E596" s="496"/>
      <c r="F596" s="492"/>
      <c r="G596" s="22"/>
    </row>
    <row r="597" spans="1:7">
      <c r="A597" s="22"/>
      <c r="B597" s="22"/>
      <c r="C597" s="22"/>
      <c r="D597" s="87"/>
      <c r="E597" s="496"/>
      <c r="F597" s="492"/>
      <c r="G597" s="22"/>
    </row>
    <row r="598" spans="1:7">
      <c r="A598" s="22"/>
      <c r="B598" s="22"/>
      <c r="C598" s="22"/>
      <c r="D598" s="87"/>
      <c r="E598" s="496"/>
      <c r="F598" s="492"/>
      <c r="G598" s="22"/>
    </row>
    <row r="599" spans="1:7">
      <c r="A599" s="22"/>
      <c r="B599" s="22"/>
      <c r="C599" s="22"/>
      <c r="D599" s="87"/>
      <c r="E599" s="496"/>
      <c r="F599" s="492"/>
      <c r="G599" s="22"/>
    </row>
    <row r="600" spans="1:7">
      <c r="A600" s="22"/>
      <c r="B600" s="22"/>
      <c r="C600" s="22"/>
      <c r="D600" s="87"/>
      <c r="E600" s="496"/>
      <c r="F600" s="492"/>
      <c r="G600" s="22"/>
    </row>
    <row r="601" spans="1:7">
      <c r="A601" s="22"/>
      <c r="B601" s="22"/>
      <c r="C601" s="22"/>
      <c r="D601" s="87"/>
      <c r="E601" s="496"/>
      <c r="F601" s="492"/>
      <c r="G601" s="22"/>
    </row>
    <row r="602" spans="1:7">
      <c r="A602" s="22"/>
      <c r="B602" s="22"/>
      <c r="C602" s="22"/>
      <c r="D602" s="87"/>
      <c r="E602" s="496"/>
      <c r="F602" s="492"/>
      <c r="G602" s="22"/>
    </row>
    <row r="603" spans="1:7">
      <c r="A603" s="22"/>
      <c r="B603" s="22"/>
      <c r="C603" s="22"/>
      <c r="D603" s="87"/>
      <c r="E603" s="496"/>
      <c r="F603" s="492"/>
      <c r="G603" s="22"/>
    </row>
    <row r="604" spans="1:7">
      <c r="A604" s="22"/>
      <c r="B604" s="22"/>
      <c r="C604" s="22"/>
      <c r="D604" s="87"/>
      <c r="E604" s="496"/>
      <c r="F604" s="492"/>
      <c r="G604" s="22"/>
    </row>
    <row r="605" spans="1:7">
      <c r="A605" s="22"/>
      <c r="B605" s="22"/>
      <c r="C605" s="22"/>
      <c r="D605" s="87"/>
      <c r="E605" s="496"/>
      <c r="F605" s="492"/>
      <c r="G605" s="22"/>
    </row>
    <row r="606" spans="1:7">
      <c r="A606" s="22"/>
      <c r="B606" s="22"/>
      <c r="C606" s="22"/>
      <c r="D606" s="87"/>
      <c r="E606" s="496"/>
      <c r="F606" s="492"/>
      <c r="G606" s="22"/>
    </row>
    <row r="607" spans="1:7">
      <c r="A607" s="22"/>
      <c r="B607" s="22"/>
      <c r="C607" s="22"/>
      <c r="D607" s="87"/>
      <c r="E607" s="496"/>
      <c r="F607" s="492"/>
      <c r="G607" s="22"/>
    </row>
    <row r="608" spans="1:7">
      <c r="A608" s="22"/>
      <c r="B608" s="22"/>
      <c r="C608" s="22"/>
      <c r="D608" s="87"/>
      <c r="E608" s="496"/>
      <c r="F608" s="492"/>
      <c r="G608" s="22"/>
    </row>
    <row r="609" spans="1:7">
      <c r="A609" s="22"/>
      <c r="B609" s="22"/>
      <c r="C609" s="22"/>
      <c r="D609" s="87"/>
      <c r="E609" s="496"/>
      <c r="F609" s="492"/>
      <c r="G609" s="22"/>
    </row>
    <row r="610" spans="1:7">
      <c r="A610" s="22"/>
      <c r="B610" s="22"/>
      <c r="C610" s="22"/>
      <c r="D610" s="87"/>
      <c r="E610" s="496"/>
      <c r="F610" s="492"/>
      <c r="G610" s="22"/>
    </row>
    <row r="611" spans="1:7">
      <c r="A611" s="22"/>
      <c r="B611" s="22"/>
      <c r="C611" s="22"/>
      <c r="D611" s="87"/>
      <c r="E611" s="496"/>
      <c r="F611" s="492"/>
      <c r="G611" s="22"/>
    </row>
    <row r="612" spans="1:7">
      <c r="A612" s="22"/>
      <c r="B612" s="22"/>
      <c r="C612" s="22"/>
      <c r="D612" s="87"/>
      <c r="E612" s="496"/>
      <c r="F612" s="492"/>
      <c r="G612" s="22"/>
    </row>
    <row r="613" spans="1:7">
      <c r="A613" s="22"/>
      <c r="B613" s="22"/>
      <c r="C613" s="22"/>
      <c r="D613" s="87"/>
      <c r="E613" s="496"/>
      <c r="F613" s="492"/>
      <c r="G613" s="22"/>
    </row>
    <row r="614" spans="1:7">
      <c r="A614" s="22"/>
      <c r="B614" s="22"/>
      <c r="C614" s="22"/>
      <c r="D614" s="87"/>
      <c r="E614" s="496"/>
      <c r="F614" s="492"/>
      <c r="G614" s="22"/>
    </row>
    <row r="615" spans="1:7">
      <c r="A615" s="22"/>
      <c r="B615" s="22"/>
      <c r="C615" s="22"/>
      <c r="D615" s="87"/>
      <c r="E615" s="496"/>
      <c r="F615" s="492"/>
      <c r="G615" s="22"/>
    </row>
    <row r="616" spans="1:7">
      <c r="A616" s="22"/>
      <c r="B616" s="22"/>
      <c r="C616" s="22"/>
      <c r="D616" s="87"/>
      <c r="E616" s="496"/>
      <c r="F616" s="492"/>
      <c r="G616" s="22"/>
    </row>
    <row r="617" spans="1:7">
      <c r="A617" s="22"/>
      <c r="B617" s="22"/>
      <c r="C617" s="22"/>
      <c r="D617" s="87"/>
      <c r="E617" s="496"/>
      <c r="F617" s="492"/>
      <c r="G617" s="22"/>
    </row>
    <row r="618" spans="1:7">
      <c r="A618" s="22"/>
      <c r="B618" s="22"/>
      <c r="C618" s="22"/>
      <c r="D618" s="87"/>
      <c r="E618" s="496"/>
      <c r="F618" s="492"/>
      <c r="G618" s="22"/>
    </row>
    <row r="619" spans="1:7">
      <c r="A619" s="22"/>
      <c r="B619" s="22"/>
      <c r="C619" s="22"/>
      <c r="D619" s="87"/>
      <c r="E619" s="496"/>
      <c r="F619" s="492"/>
      <c r="G619" s="22"/>
    </row>
    <row r="620" spans="1:7">
      <c r="A620" s="22"/>
      <c r="B620" s="22"/>
      <c r="C620" s="22"/>
      <c r="D620" s="87"/>
      <c r="E620" s="496"/>
      <c r="F620" s="492"/>
      <c r="G620" s="22"/>
    </row>
    <row r="621" spans="1:7">
      <c r="A621" s="22"/>
      <c r="B621" s="22"/>
      <c r="C621" s="22"/>
      <c r="D621" s="87"/>
      <c r="E621" s="496"/>
      <c r="F621" s="492"/>
      <c r="G621" s="22"/>
    </row>
    <row r="622" spans="1:7">
      <c r="A622" s="22"/>
      <c r="B622" s="22"/>
      <c r="C622" s="22"/>
      <c r="D622" s="87"/>
      <c r="E622" s="496"/>
      <c r="F622" s="492"/>
      <c r="G622" s="22"/>
    </row>
    <row r="623" spans="1:7">
      <c r="A623" s="22"/>
      <c r="B623" s="22"/>
      <c r="C623" s="22"/>
      <c r="D623" s="87"/>
      <c r="E623" s="496"/>
      <c r="F623" s="492"/>
      <c r="G623" s="22"/>
    </row>
    <row r="624" spans="1:7">
      <c r="A624" s="22"/>
      <c r="B624" s="22"/>
      <c r="C624" s="22"/>
      <c r="D624" s="87"/>
      <c r="E624" s="496"/>
      <c r="F624" s="492"/>
      <c r="G624" s="22"/>
    </row>
    <row r="625" spans="1:7">
      <c r="A625" s="22"/>
      <c r="B625" s="22"/>
      <c r="C625" s="22"/>
      <c r="D625" s="87"/>
      <c r="E625" s="496"/>
      <c r="F625" s="492"/>
      <c r="G625" s="22"/>
    </row>
    <row r="626" spans="1:7">
      <c r="A626" s="22"/>
      <c r="B626" s="22"/>
      <c r="C626" s="22"/>
      <c r="D626" s="87"/>
      <c r="E626" s="496"/>
      <c r="F626" s="492"/>
      <c r="G626" s="22"/>
    </row>
    <row r="627" spans="1:7">
      <c r="A627" s="22"/>
      <c r="B627" s="22"/>
      <c r="C627" s="22"/>
      <c r="D627" s="87"/>
      <c r="E627" s="496"/>
      <c r="F627" s="492"/>
      <c r="G627" s="22"/>
    </row>
    <row r="628" spans="1:7">
      <c r="A628" s="22"/>
      <c r="B628" s="22"/>
      <c r="C628" s="22"/>
      <c r="D628" s="87"/>
      <c r="E628" s="496"/>
      <c r="F628" s="492"/>
      <c r="G628" s="22"/>
    </row>
    <row r="629" spans="1:7">
      <c r="A629" s="22"/>
      <c r="B629" s="22"/>
      <c r="C629" s="22"/>
      <c r="D629" s="87"/>
      <c r="E629" s="496"/>
      <c r="F629" s="492"/>
      <c r="G629" s="22"/>
    </row>
    <row r="630" spans="1:7">
      <c r="A630" s="22"/>
      <c r="B630" s="22"/>
      <c r="C630" s="22"/>
      <c r="D630" s="87"/>
      <c r="E630" s="496"/>
      <c r="F630" s="492"/>
      <c r="G630" s="22"/>
    </row>
    <row r="631" spans="1:7">
      <c r="A631" s="22"/>
      <c r="B631" s="22"/>
      <c r="C631" s="22"/>
      <c r="D631" s="87"/>
      <c r="E631" s="496"/>
      <c r="F631" s="492"/>
      <c r="G631" s="22"/>
    </row>
    <row r="632" spans="1:7">
      <c r="A632" s="22"/>
      <c r="B632" s="22"/>
      <c r="C632" s="22"/>
      <c r="D632" s="87"/>
      <c r="E632" s="496"/>
      <c r="F632" s="492"/>
      <c r="G632" s="22"/>
    </row>
    <row r="633" spans="1:7">
      <c r="A633" s="22"/>
      <c r="B633" s="22"/>
      <c r="C633" s="22"/>
      <c r="D633" s="87"/>
      <c r="E633" s="496"/>
      <c r="F633" s="492"/>
      <c r="G633" s="22"/>
    </row>
    <row r="634" spans="1:7">
      <c r="A634" s="22"/>
      <c r="B634" s="22"/>
      <c r="C634" s="22"/>
      <c r="D634" s="87"/>
      <c r="E634" s="496"/>
      <c r="F634" s="492"/>
      <c r="G634" s="22"/>
    </row>
    <row r="635" spans="1:7">
      <c r="A635" s="22"/>
      <c r="B635" s="22"/>
      <c r="C635" s="22"/>
      <c r="D635" s="87"/>
      <c r="E635" s="496"/>
      <c r="F635" s="492"/>
      <c r="G635" s="22"/>
    </row>
    <row r="636" spans="1:7">
      <c r="A636" s="22"/>
      <c r="B636" s="22"/>
      <c r="C636" s="22"/>
      <c r="D636" s="87"/>
      <c r="E636" s="496"/>
      <c r="F636" s="492"/>
      <c r="G636" s="22"/>
    </row>
    <row r="637" spans="1:7">
      <c r="A637" s="22"/>
      <c r="B637" s="22"/>
      <c r="C637" s="22"/>
      <c r="D637" s="87"/>
      <c r="E637" s="496"/>
      <c r="F637" s="492"/>
      <c r="G637" s="22"/>
    </row>
    <row r="638" spans="1:7">
      <c r="A638" s="22"/>
      <c r="B638" s="22"/>
      <c r="C638" s="22"/>
      <c r="D638" s="87"/>
      <c r="E638" s="496"/>
      <c r="F638" s="492"/>
      <c r="G638" s="22"/>
    </row>
    <row r="639" spans="1:7">
      <c r="A639" s="22"/>
      <c r="B639" s="22"/>
      <c r="C639" s="22"/>
      <c r="D639" s="87"/>
      <c r="E639" s="496"/>
      <c r="F639" s="492"/>
      <c r="G639" s="22"/>
    </row>
    <row r="640" spans="1:7">
      <c r="A640" s="22"/>
      <c r="B640" s="22"/>
      <c r="C640" s="22"/>
      <c r="D640" s="87"/>
      <c r="E640" s="496"/>
      <c r="F640" s="492"/>
      <c r="G640" s="22"/>
    </row>
    <row r="641" spans="1:7">
      <c r="A641" s="22"/>
      <c r="B641" s="22"/>
      <c r="C641" s="22"/>
      <c r="D641" s="87"/>
      <c r="E641" s="496"/>
      <c r="F641" s="492"/>
      <c r="G641" s="22"/>
    </row>
    <row r="642" spans="1:7">
      <c r="A642" s="22"/>
      <c r="B642" s="22"/>
      <c r="C642" s="22"/>
      <c r="D642" s="87"/>
      <c r="E642" s="496"/>
      <c r="F642" s="492"/>
      <c r="G642" s="22"/>
    </row>
    <row r="643" spans="1:7">
      <c r="A643" s="22"/>
      <c r="B643" s="22"/>
      <c r="C643" s="22"/>
      <c r="D643" s="87"/>
      <c r="E643" s="496"/>
      <c r="F643" s="492"/>
      <c r="G643" s="22"/>
    </row>
    <row r="644" spans="1:7">
      <c r="A644" s="22"/>
      <c r="B644" s="22"/>
      <c r="C644" s="22"/>
      <c r="D644" s="87"/>
      <c r="E644" s="496"/>
      <c r="F644" s="492"/>
      <c r="G644" s="22"/>
    </row>
    <row r="645" spans="1:7">
      <c r="A645" s="22"/>
      <c r="B645" s="22"/>
      <c r="C645" s="22"/>
      <c r="D645" s="87"/>
      <c r="E645" s="496"/>
      <c r="F645" s="492"/>
      <c r="G645" s="22"/>
    </row>
    <row r="646" spans="1:7">
      <c r="A646" s="22"/>
      <c r="B646" s="22"/>
      <c r="C646" s="22"/>
      <c r="D646" s="87"/>
      <c r="E646" s="496"/>
      <c r="F646" s="492"/>
      <c r="G646" s="22"/>
    </row>
    <row r="647" spans="1:7">
      <c r="A647" s="22"/>
      <c r="B647" s="22"/>
      <c r="C647" s="22"/>
      <c r="D647" s="87"/>
      <c r="E647" s="496"/>
      <c r="F647" s="492"/>
      <c r="G647" s="22"/>
    </row>
    <row r="648" spans="1:7">
      <c r="A648" s="22"/>
      <c r="B648" s="22"/>
      <c r="C648" s="22"/>
      <c r="D648" s="87"/>
      <c r="E648" s="496"/>
      <c r="F648" s="492"/>
      <c r="G648" s="22"/>
    </row>
    <row r="649" spans="1:7">
      <c r="A649" s="22"/>
      <c r="B649" s="22"/>
      <c r="C649" s="22"/>
      <c r="D649" s="87"/>
      <c r="E649" s="496"/>
      <c r="F649" s="492"/>
      <c r="G649" s="22"/>
    </row>
    <row r="650" spans="1:7">
      <c r="A650" s="22"/>
      <c r="B650" s="22"/>
      <c r="C650" s="22"/>
      <c r="D650" s="87"/>
      <c r="E650" s="496"/>
      <c r="F650" s="492"/>
      <c r="G650" s="22"/>
    </row>
    <row r="651" spans="1:7">
      <c r="A651" s="22"/>
      <c r="B651" s="22"/>
      <c r="C651" s="22"/>
      <c r="D651" s="87"/>
      <c r="E651" s="496"/>
      <c r="F651" s="492"/>
      <c r="G651" s="22"/>
    </row>
    <row r="652" spans="1:7">
      <c r="A652" s="22"/>
      <c r="B652" s="22"/>
      <c r="C652" s="22"/>
      <c r="D652" s="87"/>
      <c r="E652" s="496"/>
      <c r="F652" s="492"/>
      <c r="G652" s="22"/>
    </row>
    <row r="653" spans="1:7">
      <c r="A653" s="22"/>
      <c r="B653" s="22"/>
      <c r="C653" s="22"/>
      <c r="D653" s="87"/>
      <c r="E653" s="496"/>
      <c r="F653" s="492"/>
      <c r="G653" s="22"/>
    </row>
    <row r="654" spans="1:7">
      <c r="A654" s="22"/>
      <c r="B654" s="22"/>
      <c r="C654" s="22"/>
      <c r="D654" s="87"/>
      <c r="E654" s="496"/>
      <c r="F654" s="492"/>
      <c r="G654" s="22"/>
    </row>
    <row r="655" spans="1:7">
      <c r="A655" s="22"/>
      <c r="B655" s="22"/>
      <c r="C655" s="22"/>
      <c r="D655" s="87"/>
      <c r="E655" s="496"/>
      <c r="F655" s="492"/>
      <c r="G655" s="22"/>
    </row>
    <row r="656" spans="1:7">
      <c r="A656" s="22"/>
      <c r="B656" s="22"/>
      <c r="C656" s="22"/>
      <c r="D656" s="87"/>
      <c r="E656" s="496"/>
      <c r="F656" s="492"/>
      <c r="G656" s="22"/>
    </row>
    <row r="657" spans="1:7">
      <c r="A657" s="22"/>
      <c r="B657" s="22"/>
      <c r="C657" s="22"/>
      <c r="D657" s="87"/>
      <c r="E657" s="496"/>
      <c r="F657" s="492"/>
      <c r="G657" s="22"/>
    </row>
    <row r="658" spans="1:7">
      <c r="A658" s="22"/>
      <c r="B658" s="22"/>
      <c r="C658" s="22"/>
      <c r="D658" s="87"/>
      <c r="E658" s="496"/>
      <c r="F658" s="492"/>
      <c r="G658" s="22"/>
    </row>
    <row r="659" spans="1:7">
      <c r="A659" s="22"/>
      <c r="B659" s="22"/>
      <c r="C659" s="22"/>
      <c r="D659" s="87"/>
      <c r="E659" s="496"/>
      <c r="F659" s="492"/>
      <c r="G659" s="22"/>
    </row>
    <row r="660" spans="1:7">
      <c r="A660" s="22"/>
      <c r="B660" s="22"/>
      <c r="C660" s="22"/>
      <c r="D660" s="87"/>
      <c r="E660" s="496"/>
      <c r="F660" s="492"/>
      <c r="G660" s="22"/>
    </row>
    <row r="661" spans="1:7">
      <c r="A661" s="22"/>
      <c r="B661" s="22"/>
      <c r="C661" s="22"/>
      <c r="D661" s="87"/>
      <c r="E661" s="496"/>
      <c r="F661" s="492"/>
      <c r="G661" s="22"/>
    </row>
    <row r="662" spans="1:7">
      <c r="A662" s="22"/>
      <c r="B662" s="22"/>
      <c r="C662" s="22"/>
      <c r="D662" s="87"/>
      <c r="E662" s="496"/>
      <c r="F662" s="492"/>
      <c r="G662" s="22"/>
    </row>
    <row r="663" spans="1:7">
      <c r="A663" s="22"/>
      <c r="B663" s="22"/>
      <c r="C663" s="22"/>
      <c r="D663" s="87"/>
      <c r="E663" s="496"/>
      <c r="F663" s="492"/>
      <c r="G663" s="22"/>
    </row>
  </sheetData>
  <sheetProtection algorithmName="SHA-512" hashValue="h9OvNa0GLIpWw2uGeuImGNkBdoRgoH1kZ1LXsw/ZuN62jtPfbFviJBwJPoX2LzHISMblCP1su8d6zbBCL9T/RA==" saltValue="5KXVXJx2wHDH0fFQtmNN2Q==" spinCount="100000" sheet="1" objects="1" scenarios="1" selectLockedCells="1"/>
  <mergeCells count="19">
    <mergeCell ref="A24:F24"/>
    <mergeCell ref="A87:F87"/>
    <mergeCell ref="A159:F159"/>
    <mergeCell ref="A170:F170"/>
    <mergeCell ref="A1:F4"/>
    <mergeCell ref="A122:F122"/>
    <mergeCell ref="A144:F144"/>
    <mergeCell ref="A54:F54"/>
    <mergeCell ref="A69:F69"/>
    <mergeCell ref="A104:F104"/>
    <mergeCell ref="A75:F75"/>
    <mergeCell ref="A81:F81"/>
    <mergeCell ref="A18:F18"/>
    <mergeCell ref="A12:F12"/>
    <mergeCell ref="A6:F6"/>
    <mergeCell ref="A48:F48"/>
    <mergeCell ref="A42:F42"/>
    <mergeCell ref="A36:F36"/>
    <mergeCell ref="A30:F30"/>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251EA4-5C59-4230-9E97-C8C194AC6728}">
  <sheetPr codeName="Sheet19">
    <tabColor rgb="FF002060"/>
    <pageSetUpPr fitToPage="1"/>
  </sheetPr>
  <dimension ref="A1:F174"/>
  <sheetViews>
    <sheetView view="pageLayout" topLeftCell="A151" zoomScaleNormal="80" workbookViewId="0">
      <selection sqref="A1:F4"/>
    </sheetView>
  </sheetViews>
  <sheetFormatPr defaultColWidth="53.42578125" defaultRowHeight="13.9"/>
  <cols>
    <col min="1" max="1" width="50" style="176" customWidth="1"/>
    <col min="2" max="2" width="38.28515625" style="279" bestFit="1" customWidth="1"/>
    <col min="3" max="3" width="14.7109375" style="280" bestFit="1" customWidth="1"/>
    <col min="4" max="4" width="24" style="281" bestFit="1" customWidth="1"/>
    <col min="5" max="5" width="25.5703125" style="282" bestFit="1" customWidth="1"/>
    <col min="6" max="6" width="24" style="295" bestFit="1" customWidth="1"/>
    <col min="7" max="16384" width="53.42578125" style="176"/>
  </cols>
  <sheetData>
    <row r="1" spans="1:6" ht="13.9" customHeight="1">
      <c r="A1" s="560" t="s">
        <v>307</v>
      </c>
      <c r="B1" s="561"/>
      <c r="C1" s="561"/>
      <c r="D1" s="561"/>
      <c r="E1" s="561"/>
      <c r="F1" s="603"/>
    </row>
    <row r="2" spans="1:6" ht="13.9" customHeight="1">
      <c r="A2" s="604"/>
      <c r="B2" s="605"/>
      <c r="C2" s="605"/>
      <c r="D2" s="605"/>
      <c r="E2" s="605"/>
      <c r="F2" s="606"/>
    </row>
    <row r="3" spans="1:6">
      <c r="A3" s="600" t="s">
        <v>112</v>
      </c>
      <c r="B3" s="601"/>
      <c r="C3" s="601"/>
      <c r="D3" s="601"/>
      <c r="E3" s="601"/>
      <c r="F3" s="602"/>
    </row>
    <row r="4" spans="1:6">
      <c r="A4" s="179"/>
      <c r="B4" s="296" t="s">
        <v>300</v>
      </c>
      <c r="C4" s="297" t="s">
        <v>281</v>
      </c>
      <c r="D4" s="298" t="s">
        <v>267</v>
      </c>
      <c r="E4" s="299" t="s">
        <v>301</v>
      </c>
      <c r="F4" s="300" t="s">
        <v>302</v>
      </c>
    </row>
    <row r="5" spans="1:6">
      <c r="A5" s="249" t="str">
        <f>'Equipment List'!A8</f>
        <v>Quoted Aging Room Env. Controls</v>
      </c>
      <c r="B5" s="279" t="str">
        <f>'Equipment List'!B8</f>
        <v>Not enough data to calculate</v>
      </c>
      <c r="C5" s="280">
        <f>'Equipment List'!C8</f>
        <v>0</v>
      </c>
      <c r="D5" s="281" t="str">
        <f>'Equipment List'!D8</f>
        <v>Not enough data to calculate</v>
      </c>
      <c r="E5" s="282" t="str">
        <f>'Equipment List'!E8</f>
        <v>Not enough data to calculate</v>
      </c>
      <c r="F5" s="283" t="str">
        <f>'Equipment List'!F8</f>
        <v>Not enough data to calculate</v>
      </c>
    </row>
    <row r="6" spans="1:6">
      <c r="A6" s="251" t="str">
        <f>'Equipment List'!A9</f>
        <v>Average Aging Room Env. Controls</v>
      </c>
      <c r="B6" s="284" t="str">
        <f>'Equipment List'!B9</f>
        <v>Not enough data to calculate</v>
      </c>
      <c r="C6" s="285">
        <f>'Equipment List'!C9</f>
        <v>1500</v>
      </c>
      <c r="D6" s="286" t="str">
        <f>'Equipment List'!D9</f>
        <v>Not enough data to calculate</v>
      </c>
      <c r="E6" s="287" t="str">
        <f>'Equipment List'!E9</f>
        <v>Not enough data to calculate</v>
      </c>
      <c r="F6" s="288" t="str">
        <f>'Equipment List'!F9</f>
        <v>Not enough data to calculate</v>
      </c>
    </row>
    <row r="9" spans="1:6">
      <c r="A9" s="600" t="str">
        <f>'Equipment List'!A12</f>
        <v>Aging Room Storage</v>
      </c>
      <c r="B9" s="601"/>
      <c r="C9" s="601"/>
      <c r="D9" s="601"/>
      <c r="E9" s="601"/>
      <c r="F9" s="602"/>
    </row>
    <row r="10" spans="1:6">
      <c r="A10" s="179"/>
      <c r="B10" s="296" t="s">
        <v>300</v>
      </c>
      <c r="C10" s="297" t="s">
        <v>281</v>
      </c>
      <c r="D10" s="298" t="s">
        <v>267</v>
      </c>
      <c r="E10" s="299" t="s">
        <v>301</v>
      </c>
      <c r="F10" s="300" t="s">
        <v>302</v>
      </c>
    </row>
    <row r="11" spans="1:6">
      <c r="A11" s="249" t="str">
        <f>'Equipment List'!A14</f>
        <v>Quoted Aging Room Storage</v>
      </c>
      <c r="B11" s="279" t="str">
        <f>'Equipment List'!B14</f>
        <v>Not enough data to calculate</v>
      </c>
      <c r="C11" s="280">
        <f>'Equipment List'!C14</f>
        <v>0</v>
      </c>
      <c r="D11" s="281" t="str">
        <f>'Equipment List'!D14</f>
        <v>Not enough data to calculate</v>
      </c>
      <c r="E11" s="282" t="str">
        <f>'Equipment List'!E14</f>
        <v>Not enough data to calculate</v>
      </c>
      <c r="F11" s="283" t="str">
        <f>'Equipment List'!F14</f>
        <v>Not enough data to calculate</v>
      </c>
    </row>
    <row r="12" spans="1:6">
      <c r="A12" s="251" t="str">
        <f>'Equipment List'!A15</f>
        <v>Average Aging Room Storage</v>
      </c>
      <c r="B12" s="284" t="str">
        <f>'Equipment List'!B15</f>
        <v>Not enough data to calculate</v>
      </c>
      <c r="C12" s="285">
        <f>'Equipment List'!C15</f>
        <v>1769.27</v>
      </c>
      <c r="D12" s="286" t="str">
        <f>'Equipment List'!D15</f>
        <v>Not enough data to calculate</v>
      </c>
      <c r="E12" s="287" t="str">
        <f>'Equipment List'!E15</f>
        <v>Not enough data to calculate</v>
      </c>
      <c r="F12" s="288" t="str">
        <f>'Equipment List'!F15</f>
        <v>Not enough data to calculate</v>
      </c>
    </row>
    <row r="15" spans="1:6">
      <c r="A15" s="600" t="str">
        <f>'Equipment List'!A18</f>
        <v>Brine Tank</v>
      </c>
      <c r="B15" s="601"/>
      <c r="C15" s="601"/>
      <c r="D15" s="601"/>
      <c r="E15" s="601"/>
      <c r="F15" s="602"/>
    </row>
    <row r="16" spans="1:6">
      <c r="A16" s="179"/>
      <c r="B16" s="296" t="s">
        <v>300</v>
      </c>
      <c r="C16" s="297" t="s">
        <v>281</v>
      </c>
      <c r="D16" s="298" t="s">
        <v>267</v>
      </c>
      <c r="E16" s="299" t="s">
        <v>301</v>
      </c>
      <c r="F16" s="300" t="s">
        <v>302</v>
      </c>
    </row>
    <row r="17" spans="1:6">
      <c r="A17" s="249" t="str">
        <f>'Equipment List'!A20</f>
        <v>Quoted Brine Tank</v>
      </c>
      <c r="B17" s="279" t="str">
        <f>'Equipment List'!B20</f>
        <v>Not enough data to calculate</v>
      </c>
      <c r="C17" s="280">
        <f>'Equipment List'!C20</f>
        <v>0</v>
      </c>
      <c r="D17" s="281" t="str">
        <f>'Equipment List'!D20</f>
        <v>Not enough data to calculate</v>
      </c>
      <c r="E17" s="282" t="str">
        <f>'Equipment List'!E20</f>
        <v>Not enough data to calculate</v>
      </c>
      <c r="F17" s="283" t="str">
        <f>'Equipment List'!F20</f>
        <v>Not enough data to calculate</v>
      </c>
    </row>
    <row r="18" spans="1:6">
      <c r="A18" s="251" t="str">
        <f>'Equipment List'!A21</f>
        <v>Average Brine Tank</v>
      </c>
      <c r="B18" s="284" t="str">
        <f>'Equipment List'!B21</f>
        <v>Not enough data to calculate</v>
      </c>
      <c r="C18" s="285">
        <f>'Equipment List'!C21</f>
        <v>24750</v>
      </c>
      <c r="D18" s="286" t="str">
        <f>'Equipment List'!D21</f>
        <v>Not enough data to calculate</v>
      </c>
      <c r="E18" s="287" t="str">
        <f>'Equipment List'!E21</f>
        <v>Not enough data to calculate</v>
      </c>
      <c r="F18" s="288" t="str">
        <f>'Equipment List'!F21</f>
        <v>Not enough data to calculate</v>
      </c>
    </row>
    <row r="21" spans="1:6">
      <c r="A21" s="600" t="str">
        <f>'Equipment List'!A24</f>
        <v>Brushing Machine</v>
      </c>
      <c r="B21" s="601"/>
      <c r="C21" s="601"/>
      <c r="D21" s="601"/>
      <c r="E21" s="601"/>
      <c r="F21" s="602"/>
    </row>
    <row r="22" spans="1:6">
      <c r="A22" s="179"/>
      <c r="B22" s="296" t="s">
        <v>300</v>
      </c>
      <c r="C22" s="297" t="s">
        <v>281</v>
      </c>
      <c r="D22" s="298" t="s">
        <v>267</v>
      </c>
      <c r="E22" s="299" t="s">
        <v>301</v>
      </c>
      <c r="F22" s="300" t="s">
        <v>302</v>
      </c>
    </row>
    <row r="23" spans="1:6">
      <c r="A23" s="249" t="str">
        <f>'Equipment List'!A26</f>
        <v>Quoted Brushing Machine</v>
      </c>
      <c r="B23" s="279" t="str">
        <f>'Equipment List'!B26</f>
        <v>Not enough data to calculate</v>
      </c>
      <c r="C23" s="280">
        <f>'Equipment List'!C26</f>
        <v>0</v>
      </c>
      <c r="D23" s="281" t="str">
        <f>'Equipment List'!D26</f>
        <v>Not enough data to calculate</v>
      </c>
      <c r="E23" s="282" t="str">
        <f>'Equipment List'!E26</f>
        <v>Not enough data to calculate</v>
      </c>
      <c r="F23" s="283" t="str">
        <f>'Equipment List'!F26</f>
        <v>Not enough data to calculate</v>
      </c>
    </row>
    <row r="24" spans="1:6">
      <c r="A24" s="251" t="str">
        <f>'Equipment List'!A27</f>
        <v>Average Brushing Machine</v>
      </c>
      <c r="B24" s="284" t="str">
        <f>'Equipment List'!B27</f>
        <v>Not enough data to calculate</v>
      </c>
      <c r="C24" s="285">
        <f>'Equipment List'!C27</f>
        <v>62200</v>
      </c>
      <c r="D24" s="286" t="str">
        <f>'Equipment List'!D27</f>
        <v>Not enough data to calculate</v>
      </c>
      <c r="E24" s="287" t="str">
        <f>'Equipment List'!E27</f>
        <v>Not enough data to calculate</v>
      </c>
      <c r="F24" s="288" t="str">
        <f>'Equipment List'!F27</f>
        <v>Not enough data to calculate</v>
      </c>
    </row>
    <row r="27" spans="1:6">
      <c r="A27" s="600" t="str">
        <f>'Equipment List'!A30</f>
        <v>Cheese Piercer</v>
      </c>
      <c r="B27" s="601"/>
      <c r="C27" s="601"/>
      <c r="D27" s="601"/>
      <c r="E27" s="601"/>
      <c r="F27" s="602"/>
    </row>
    <row r="28" spans="1:6">
      <c r="A28" s="179"/>
      <c r="B28" s="296" t="s">
        <v>300</v>
      </c>
      <c r="C28" s="297" t="s">
        <v>281</v>
      </c>
      <c r="D28" s="298" t="s">
        <v>267</v>
      </c>
      <c r="E28" s="299" t="s">
        <v>301</v>
      </c>
      <c r="F28" s="300" t="s">
        <v>302</v>
      </c>
    </row>
    <row r="29" spans="1:6">
      <c r="A29" s="249" t="str">
        <f>'Equipment List'!A32</f>
        <v>Quoted Cheese Piercer</v>
      </c>
      <c r="B29" s="279" t="str">
        <f>'Equipment List'!B32</f>
        <v>Not enough data to calculate</v>
      </c>
      <c r="C29" s="280">
        <f>'Equipment List'!C32</f>
        <v>0</v>
      </c>
      <c r="D29" s="281" t="str">
        <f>'Equipment List'!D32</f>
        <v>Not enough data to calculate</v>
      </c>
      <c r="E29" s="282" t="str">
        <f>'Equipment List'!E32</f>
        <v>Not enough data to calculate</v>
      </c>
      <c r="F29" s="283" t="str">
        <f>'Equipment List'!F32</f>
        <v>Not enough data to calculate</v>
      </c>
    </row>
    <row r="30" spans="1:6">
      <c r="A30" s="251" t="str">
        <f>'Equipment List'!A33</f>
        <v>Average Cheese Piercer</v>
      </c>
      <c r="B30" s="284" t="str">
        <f>'Equipment List'!B33</f>
        <v>Not enough data to calculate</v>
      </c>
      <c r="C30" s="285">
        <f>'Equipment List'!C33</f>
        <v>14190</v>
      </c>
      <c r="D30" s="286" t="str">
        <f>'Equipment List'!D33</f>
        <v>Not enough data to calculate</v>
      </c>
      <c r="E30" s="287" t="str">
        <f>'Equipment List'!E33</f>
        <v>Not enough data to calculate</v>
      </c>
      <c r="F30" s="288" t="str">
        <f>'Equipment List'!F33</f>
        <v>Not enough data to calculate</v>
      </c>
    </row>
    <row r="33" spans="1:6">
      <c r="A33" s="600" t="str">
        <f>'Equipment List'!A36</f>
        <v>Curd Distributor</v>
      </c>
      <c r="B33" s="601"/>
      <c r="C33" s="601"/>
      <c r="D33" s="601"/>
      <c r="E33" s="601"/>
      <c r="F33" s="602"/>
    </row>
    <row r="34" spans="1:6">
      <c r="A34" s="179"/>
      <c r="B34" s="296" t="s">
        <v>300</v>
      </c>
      <c r="C34" s="297" t="s">
        <v>281</v>
      </c>
      <c r="D34" s="298" t="s">
        <v>267</v>
      </c>
      <c r="E34" s="299" t="s">
        <v>301</v>
      </c>
      <c r="F34" s="300" t="s">
        <v>302</v>
      </c>
    </row>
    <row r="35" spans="1:6">
      <c r="A35" s="249" t="str">
        <f>'Equipment List'!A38</f>
        <v>Quoted Curd Distributors</v>
      </c>
      <c r="B35" s="279" t="str">
        <f>'Equipment List'!B38</f>
        <v>Not enough data to calculate</v>
      </c>
      <c r="C35" s="280">
        <f>'Equipment List'!C38</f>
        <v>0</v>
      </c>
      <c r="D35" s="281" t="str">
        <f>'Equipment List'!D38</f>
        <v>Not enough data to calculate</v>
      </c>
      <c r="E35" s="282" t="str">
        <f>'Equipment List'!E38</f>
        <v>Not enough data to calculate</v>
      </c>
      <c r="F35" s="283" t="str">
        <f>'Equipment List'!F38</f>
        <v>Not enough data to calculate</v>
      </c>
    </row>
    <row r="36" spans="1:6">
      <c r="A36" s="251" t="str">
        <f>'Equipment List'!A39</f>
        <v>Average Curd Distributors</v>
      </c>
      <c r="B36" s="284" t="str">
        <f>'Equipment List'!B39</f>
        <v>Not enough data to calculate</v>
      </c>
      <c r="C36" s="285">
        <f>'Equipment List'!C39</f>
        <v>2132.25</v>
      </c>
      <c r="D36" s="286" t="str">
        <f>'Equipment List'!D39</f>
        <v>Not enough data to calculate</v>
      </c>
      <c r="E36" s="287" t="str">
        <f>'Equipment List'!E39</f>
        <v>Not enough data to calculate</v>
      </c>
      <c r="F36" s="288" t="str">
        <f>'Equipment List'!F39</f>
        <v>Not enough data to calculate</v>
      </c>
    </row>
    <row r="39" spans="1:6">
      <c r="A39" s="600" t="str">
        <f>'Equipment List'!A42</f>
        <v>Drain Table</v>
      </c>
      <c r="B39" s="601"/>
      <c r="C39" s="601"/>
      <c r="D39" s="601"/>
      <c r="E39" s="601"/>
      <c r="F39" s="602"/>
    </row>
    <row r="40" spans="1:6">
      <c r="A40" s="179"/>
      <c r="B40" s="296" t="s">
        <v>300</v>
      </c>
      <c r="C40" s="297" t="s">
        <v>281</v>
      </c>
      <c r="D40" s="298" t="s">
        <v>267</v>
      </c>
      <c r="E40" s="299" t="s">
        <v>301</v>
      </c>
      <c r="F40" s="300" t="s">
        <v>302</v>
      </c>
    </row>
    <row r="41" spans="1:6">
      <c r="A41" s="249" t="str">
        <f>'Equipment List'!A44</f>
        <v>Quoted Drain Table</v>
      </c>
      <c r="B41" s="279" t="str">
        <f>'Equipment List'!B44</f>
        <v>Not enough data to calculate</v>
      </c>
      <c r="C41" s="280">
        <f>'Equipment List'!C44</f>
        <v>0</v>
      </c>
      <c r="D41" s="281" t="str">
        <f>'Equipment List'!D44</f>
        <v>Not enough data to calculate</v>
      </c>
      <c r="E41" s="282" t="str">
        <f>'Equipment List'!E44</f>
        <v>Not enough data to calculate</v>
      </c>
      <c r="F41" s="283" t="str">
        <f>'Equipment List'!F44</f>
        <v>Not enough data to calculate</v>
      </c>
    </row>
    <row r="42" spans="1:6">
      <c r="A42" s="251" t="str">
        <f>'Equipment List'!A45</f>
        <v>Average Drain Table</v>
      </c>
      <c r="B42" s="284" t="str">
        <f>'Equipment List'!B45</f>
        <v>Not enough data to calculate</v>
      </c>
      <c r="C42" s="285">
        <f>'Equipment List'!C45</f>
        <v>19497.66</v>
      </c>
      <c r="D42" s="286" t="str">
        <f>'Equipment List'!D45</f>
        <v>Not enough data to calculate</v>
      </c>
      <c r="E42" s="287" t="str">
        <f>'Equipment List'!E45</f>
        <v>Not enough data to calculate</v>
      </c>
      <c r="F42" s="288" t="str">
        <f>'Equipment List'!F45</f>
        <v>Not enough data to calculate</v>
      </c>
    </row>
    <row r="45" spans="1:6">
      <c r="A45" s="600" t="str">
        <f>'Equipment List'!A48</f>
        <v>Molds</v>
      </c>
      <c r="B45" s="601"/>
      <c r="C45" s="601"/>
      <c r="D45" s="601"/>
      <c r="E45" s="601"/>
      <c r="F45" s="602"/>
    </row>
    <row r="46" spans="1:6">
      <c r="A46" s="179"/>
      <c r="B46" s="296" t="s">
        <v>300</v>
      </c>
      <c r="C46" s="297" t="s">
        <v>281</v>
      </c>
      <c r="D46" s="298" t="s">
        <v>267</v>
      </c>
      <c r="E46" s="299" t="s">
        <v>301</v>
      </c>
      <c r="F46" s="300" t="s">
        <v>302</v>
      </c>
    </row>
    <row r="47" spans="1:6">
      <c r="A47" s="249" t="str">
        <f>'Equipment List'!A50</f>
        <v>Quoted Molds</v>
      </c>
      <c r="B47" s="279" t="str">
        <f>'Equipment List'!B50</f>
        <v>Not enough data to calculate</v>
      </c>
      <c r="C47" s="280">
        <f>'Equipment List'!C50</f>
        <v>0</v>
      </c>
      <c r="D47" s="281" t="str">
        <f>'Equipment List'!D50</f>
        <v>Not enough data to calculate</v>
      </c>
      <c r="E47" s="282" t="str">
        <f>'Equipment List'!E50</f>
        <v>Not enough data to calculate</v>
      </c>
      <c r="F47" s="283" t="str">
        <f>'Equipment List'!F50</f>
        <v>Not enough data to calculate</v>
      </c>
    </row>
    <row r="48" spans="1:6">
      <c r="A48" s="251" t="str">
        <f>'Equipment List'!A51</f>
        <v>Average Molds</v>
      </c>
      <c r="B48" s="284" t="str">
        <f>'Equipment List'!B51</f>
        <v>Not enough data to calculate</v>
      </c>
      <c r="C48" s="285">
        <f>'Equipment List'!C51</f>
        <v>5118.87</v>
      </c>
      <c r="D48" s="286" t="str">
        <f>'Equipment List'!D51</f>
        <v>Not enough data to calculate</v>
      </c>
      <c r="E48" s="287" t="str">
        <f>'Equipment List'!E51</f>
        <v>Not enough data to calculate</v>
      </c>
      <c r="F48" s="288" t="str">
        <f>'Equipment List'!F51</f>
        <v>Not enough data to calculate</v>
      </c>
    </row>
    <row r="60" spans="1:6">
      <c r="A60" s="600" t="str">
        <f>'Equipment List'!A54</f>
        <v>Cheese Press</v>
      </c>
      <c r="B60" s="601"/>
      <c r="C60" s="601"/>
      <c r="D60" s="601"/>
      <c r="E60" s="601"/>
      <c r="F60" s="602"/>
    </row>
    <row r="61" spans="1:6">
      <c r="A61" s="179"/>
      <c r="B61" s="296" t="s">
        <v>300</v>
      </c>
      <c r="C61" s="297" t="s">
        <v>281</v>
      </c>
      <c r="D61" s="298" t="s">
        <v>267</v>
      </c>
      <c r="E61" s="299" t="s">
        <v>301</v>
      </c>
      <c r="F61" s="300" t="s">
        <v>302</v>
      </c>
    </row>
    <row r="62" spans="1:6">
      <c r="A62" s="249" t="str">
        <f>'Equipment List'!A56</f>
        <v>ANCO Single Head Vertical A-Frame Cheese Press</v>
      </c>
      <c r="B62" s="279" t="str">
        <f>'Equipment List'!B56</f>
        <v>Not enough data to calculate</v>
      </c>
      <c r="C62" s="280">
        <f>'Equipment List'!C56</f>
        <v>3500</v>
      </c>
      <c r="D62" s="281" t="str">
        <f>'Equipment List'!D56</f>
        <v>Not enough data to calculate</v>
      </c>
      <c r="E62" s="282" t="str">
        <f>'Equipment List'!E56</f>
        <v>Not enough data to calculate</v>
      </c>
      <c r="F62" s="283" t="str">
        <f>'Equipment List'!F56</f>
        <v>Not enough data to calculate</v>
      </c>
    </row>
    <row r="63" spans="1:6">
      <c r="A63" s="249" t="str">
        <f>'Equipment List'!A57</f>
        <v>ANCO 2-Head Vertical A-Frame Cheese Press</v>
      </c>
      <c r="B63" s="279" t="str">
        <f>'Equipment List'!B57</f>
        <v>Not enough data to calculate</v>
      </c>
      <c r="C63" s="280">
        <f>'Equipment List'!C57</f>
        <v>5000</v>
      </c>
      <c r="D63" s="281" t="str">
        <f>'Equipment List'!D57</f>
        <v>Not enough data to calculate</v>
      </c>
      <c r="E63" s="282" t="str">
        <f>'Equipment List'!E57</f>
        <v>Not enough data to calculate</v>
      </c>
      <c r="F63" s="283" t="str">
        <f>'Equipment List'!F57</f>
        <v>Not enough data to calculate</v>
      </c>
    </row>
    <row r="64" spans="1:6">
      <c r="A64" s="249" t="str">
        <f>'Equipment List'!A58</f>
        <v>ANCO 4-Head Vertical A-Frame Cheese Press</v>
      </c>
      <c r="B64" s="279" t="str">
        <f>'Equipment List'!B58</f>
        <v>Not enough data to calculate</v>
      </c>
      <c r="C64" s="280">
        <f>'Equipment List'!C58</f>
        <v>9000</v>
      </c>
      <c r="D64" s="281" t="str">
        <f>'Equipment List'!D58</f>
        <v>Not enough data to calculate</v>
      </c>
      <c r="E64" s="282" t="str">
        <f>'Equipment List'!E58</f>
        <v>Not enough data to calculate</v>
      </c>
      <c r="F64" s="283" t="str">
        <f>'Equipment List'!F58</f>
        <v>Not enough data to calculate</v>
      </c>
    </row>
    <row r="65" spans="1:6">
      <c r="A65" s="249" t="str">
        <f>'Equipment List'!A59</f>
        <v>ANCO 6-Head Vertical A-Frame Cheese Press</v>
      </c>
      <c r="B65" s="279" t="str">
        <f>'Equipment List'!B59</f>
        <v>Not enough data to calculate</v>
      </c>
      <c r="C65" s="280">
        <f>'Equipment List'!C59</f>
        <v>12500</v>
      </c>
      <c r="D65" s="281" t="str">
        <f>'Equipment List'!D59</f>
        <v>Not enough data to calculate</v>
      </c>
      <c r="E65" s="282" t="str">
        <f>'Equipment List'!E59</f>
        <v>Not enough data to calculate</v>
      </c>
      <c r="F65" s="283" t="str">
        <f>'Equipment List'!F59</f>
        <v>Not enough data to calculate</v>
      </c>
    </row>
    <row r="66" spans="1:6">
      <c r="A66" s="249" t="str">
        <f>'Equipment List'!A60</f>
        <v>ANCO 8-Head Vertical A-Frame Cheese Press</v>
      </c>
      <c r="B66" s="279" t="str">
        <f>'Equipment List'!B60</f>
        <v>Not enough data to calculate</v>
      </c>
      <c r="C66" s="280">
        <f>'Equipment List'!C60</f>
        <v>15000</v>
      </c>
      <c r="D66" s="281" t="str">
        <f>'Equipment List'!D60</f>
        <v>Not enough data to calculate</v>
      </c>
      <c r="E66" s="282" t="str">
        <f>'Equipment List'!E60</f>
        <v>Not enough data to calculate</v>
      </c>
      <c r="F66" s="283" t="str">
        <f>'Equipment List'!F60</f>
        <v>Not enough data to calculate</v>
      </c>
    </row>
    <row r="67" spans="1:6">
      <c r="A67" s="249" t="str">
        <f>'Equipment List'!A61</f>
        <v>ANCO 10-Head Vertical A-Frame Cheese Press</v>
      </c>
      <c r="B67" s="279" t="str">
        <f>'Equipment List'!B61</f>
        <v>Not enough data to calculate</v>
      </c>
      <c r="C67" s="280">
        <f>'Equipment List'!C61</f>
        <v>18500</v>
      </c>
      <c r="D67" s="281" t="str">
        <f>'Equipment List'!D61</f>
        <v>Not enough data to calculate</v>
      </c>
      <c r="E67" s="282" t="str">
        <f>'Equipment List'!E61</f>
        <v>Not enough data to calculate</v>
      </c>
      <c r="F67" s="283" t="str">
        <f>'Equipment List'!F61</f>
        <v>Not enough data to calculate</v>
      </c>
    </row>
    <row r="68" spans="1:6">
      <c r="A68" s="249" t="str">
        <f>'Equipment List'!A62</f>
        <v>ANCO Single Head Table Cheese Press</v>
      </c>
      <c r="B68" s="279" t="str">
        <f>'Equipment List'!B62</f>
        <v>Not enough data to calculate</v>
      </c>
      <c r="C68" s="280">
        <f>'Equipment List'!C62</f>
        <v>3500</v>
      </c>
      <c r="D68" s="281" t="str">
        <f>'Equipment List'!D62</f>
        <v>Not enough data to calculate</v>
      </c>
      <c r="E68" s="282" t="str">
        <f>'Equipment List'!E62</f>
        <v>Not enough data to calculate</v>
      </c>
      <c r="F68" s="283" t="str">
        <f>'Equipment List'!F62</f>
        <v>Not enough data to calculate</v>
      </c>
    </row>
    <row r="69" spans="1:6">
      <c r="A69" s="249" t="str">
        <f>'Equipment List'!A63</f>
        <v>ANCO 2-Head Table Cheese Press</v>
      </c>
      <c r="B69" s="279" t="str">
        <f>'Equipment List'!B63</f>
        <v>Not enough data to calculate</v>
      </c>
      <c r="C69" s="280">
        <f>'Equipment List'!C63</f>
        <v>5000</v>
      </c>
      <c r="D69" s="281" t="str">
        <f>'Equipment List'!D63</f>
        <v>Not enough data to calculate</v>
      </c>
      <c r="E69" s="282" t="str">
        <f>'Equipment List'!E63</f>
        <v>Not enough data to calculate</v>
      </c>
      <c r="F69" s="283" t="str">
        <f>'Equipment List'!F63</f>
        <v>Not enough data to calculate</v>
      </c>
    </row>
    <row r="70" spans="1:6">
      <c r="A70" s="249" t="str">
        <f>'Equipment List'!A64</f>
        <v>ANCO 4-Head Table Cheese Press</v>
      </c>
      <c r="B70" s="279" t="str">
        <f>'Equipment List'!B64</f>
        <v>Not enough data to calculate</v>
      </c>
      <c r="C70" s="280">
        <f>'Equipment List'!C64</f>
        <v>9000</v>
      </c>
      <c r="D70" s="281" t="str">
        <f>'Equipment List'!D64</f>
        <v>Not enough data to calculate</v>
      </c>
      <c r="E70" s="282" t="str">
        <f>'Equipment List'!E64</f>
        <v>Not enough data to calculate</v>
      </c>
      <c r="F70" s="283" t="str">
        <f>'Equipment List'!F64</f>
        <v>Not enough data to calculate</v>
      </c>
    </row>
    <row r="71" spans="1:6">
      <c r="A71" s="249" t="str">
        <f>'Equipment List'!A65</f>
        <v>Quoted Cheese Press</v>
      </c>
      <c r="B71" s="279" t="str">
        <f>'Equipment List'!B65</f>
        <v>Not enough data to calculate</v>
      </c>
      <c r="C71" s="280">
        <f>'Equipment List'!C65</f>
        <v>0</v>
      </c>
      <c r="D71" s="281" t="str">
        <f>'Equipment List'!D65</f>
        <v>Not enough data to calculate</v>
      </c>
      <c r="E71" s="282" t="str">
        <f>'Equipment List'!E65</f>
        <v>Not enough data to calculate</v>
      </c>
      <c r="F71" s="283" t="str">
        <f>'Equipment List'!F65</f>
        <v>Not enough data to calculate</v>
      </c>
    </row>
    <row r="72" spans="1:6">
      <c r="A72" s="251" t="str">
        <f>'Equipment List'!A66</f>
        <v>Average Cheese Press</v>
      </c>
      <c r="B72" s="284" t="str">
        <f>'Equipment List'!B66</f>
        <v>Not enough data to calculate</v>
      </c>
      <c r="C72" s="285">
        <f>'Equipment List'!C66</f>
        <v>12120.57</v>
      </c>
      <c r="D72" s="286" t="str">
        <f>'Equipment List'!D66</f>
        <v>Not enough data to calculate</v>
      </c>
      <c r="E72" s="287" t="str">
        <f>'Equipment List'!E66</f>
        <v>Not enough data to calculate</v>
      </c>
      <c r="F72" s="288" t="str">
        <f>'Equipment List'!F66</f>
        <v>Not enough data to calculate</v>
      </c>
    </row>
    <row r="75" spans="1:6">
      <c r="A75" s="600" t="str">
        <f>'Equipment List'!A69</f>
        <v>Cheese Slicer</v>
      </c>
      <c r="B75" s="601"/>
      <c r="C75" s="601"/>
      <c r="D75" s="601"/>
      <c r="E75" s="601"/>
      <c r="F75" s="602"/>
    </row>
    <row r="76" spans="1:6">
      <c r="A76" s="179"/>
      <c r="B76" s="296" t="s">
        <v>300</v>
      </c>
      <c r="C76" s="297" t="s">
        <v>281</v>
      </c>
      <c r="D76" s="298" t="s">
        <v>267</v>
      </c>
      <c r="E76" s="299" t="s">
        <v>301</v>
      </c>
      <c r="F76" s="300" t="s">
        <v>302</v>
      </c>
    </row>
    <row r="77" spans="1:6">
      <c r="A77" s="249" t="str">
        <f>'Equipment List'!A71</f>
        <v>Quoted Slicers</v>
      </c>
      <c r="B77" s="279" t="str">
        <f>'Equipment List'!B71</f>
        <v>Not enough data to calculate</v>
      </c>
      <c r="C77" s="280">
        <f>'Equipment List'!C71</f>
        <v>0</v>
      </c>
      <c r="D77" s="281" t="str">
        <f>'Equipment List'!D71</f>
        <v>Not enough data to calculate</v>
      </c>
      <c r="E77" s="282" t="str">
        <f>'Equipment List'!E71</f>
        <v>Not enough data to calculate</v>
      </c>
      <c r="F77" s="283" t="str">
        <f>'Equipment List'!F71</f>
        <v>Not enough data to calculate</v>
      </c>
    </row>
    <row r="78" spans="1:6">
      <c r="A78" s="251" t="str">
        <f>'Equipment List'!A72</f>
        <v>Average Slicers</v>
      </c>
      <c r="B78" s="284" t="str">
        <f>'Equipment List'!B72</f>
        <v>Not enough data to calculate</v>
      </c>
      <c r="C78" s="285">
        <f>'Equipment List'!C72</f>
        <v>10262.64</v>
      </c>
      <c r="D78" s="286" t="str">
        <f>'Equipment List'!D72</f>
        <v>Not enough data to calculate</v>
      </c>
      <c r="E78" s="287" t="str">
        <f>'Equipment List'!E72</f>
        <v>Not enough data to calculate</v>
      </c>
      <c r="F78" s="288" t="str">
        <f>'Equipment List'!F72</f>
        <v>Not enough data to calculate</v>
      </c>
    </row>
    <row r="81" spans="1:6">
      <c r="A81" s="600" t="str">
        <f>'Equipment List'!A75</f>
        <v>Smoker</v>
      </c>
      <c r="B81" s="601"/>
      <c r="C81" s="601"/>
      <c r="D81" s="601"/>
      <c r="E81" s="601"/>
      <c r="F81" s="602"/>
    </row>
    <row r="82" spans="1:6">
      <c r="A82" s="179"/>
      <c r="B82" s="296" t="s">
        <v>300</v>
      </c>
      <c r="C82" s="297" t="s">
        <v>281</v>
      </c>
      <c r="D82" s="298" t="s">
        <v>267</v>
      </c>
      <c r="E82" s="299" t="s">
        <v>301</v>
      </c>
      <c r="F82" s="300" t="s">
        <v>302</v>
      </c>
    </row>
    <row r="83" spans="1:6">
      <c r="A83" s="249" t="str">
        <f>'Equipment List'!A77</f>
        <v>Quoted Smoker</v>
      </c>
      <c r="B83" s="279" t="str">
        <f>'Equipment List'!B77</f>
        <v>Not enough data to calculate</v>
      </c>
      <c r="C83" s="280">
        <f>'Equipment List'!C77</f>
        <v>0</v>
      </c>
      <c r="D83" s="281" t="str">
        <f>'Equipment List'!D77</f>
        <v>Not enough data to calculate</v>
      </c>
      <c r="E83" s="282" t="str">
        <f>'Equipment List'!E77</f>
        <v>Not enough data to calculate</v>
      </c>
      <c r="F83" s="283" t="str">
        <f>'Equipment List'!F77</f>
        <v>Not enough data to calculate</v>
      </c>
    </row>
    <row r="84" spans="1:6">
      <c r="A84" s="251" t="str">
        <f>'Equipment List'!A78</f>
        <v>Average Smoker</v>
      </c>
      <c r="B84" s="284" t="str">
        <f>'Equipment List'!B78</f>
        <v>Not enough data to calculate</v>
      </c>
      <c r="C84" s="285">
        <f>'Equipment List'!C78</f>
        <v>99493</v>
      </c>
      <c r="D84" s="286" t="str">
        <f>'Equipment List'!D78</f>
        <v>Not enough data to calculate</v>
      </c>
      <c r="E84" s="287" t="str">
        <f>'Equipment List'!E78</f>
        <v>Not enough data to calculate</v>
      </c>
      <c r="F84" s="288" t="str">
        <f>'Equipment List'!F78</f>
        <v>Not enough data to calculate</v>
      </c>
    </row>
    <row r="87" spans="1:6">
      <c r="A87" s="600" t="str">
        <f>'Equipment List'!A81</f>
        <v>Cheese Stretcher</v>
      </c>
      <c r="B87" s="601"/>
      <c r="C87" s="601"/>
      <c r="D87" s="601"/>
      <c r="E87" s="601"/>
      <c r="F87" s="602"/>
    </row>
    <row r="88" spans="1:6">
      <c r="A88" s="179"/>
      <c r="B88" s="296" t="s">
        <v>300</v>
      </c>
      <c r="C88" s="297" t="s">
        <v>281</v>
      </c>
      <c r="D88" s="298" t="s">
        <v>267</v>
      </c>
      <c r="E88" s="299" t="s">
        <v>301</v>
      </c>
      <c r="F88" s="300" t="s">
        <v>302</v>
      </c>
    </row>
    <row r="89" spans="1:6">
      <c r="A89" s="249" t="str">
        <f>'Equipment List'!A83</f>
        <v>Quoted Stretchers</v>
      </c>
      <c r="B89" s="279" t="str">
        <f>'Equipment List'!B83</f>
        <v>Not enough data to calculate</v>
      </c>
      <c r="C89" s="280">
        <f>'Equipment List'!C83</f>
        <v>0</v>
      </c>
      <c r="D89" s="281" t="str">
        <f>'Equipment List'!D83</f>
        <v>Not enough data to calculate</v>
      </c>
      <c r="E89" s="282" t="str">
        <f>'Equipment List'!E83</f>
        <v>Not enough data to calculate</v>
      </c>
      <c r="F89" s="283" t="str">
        <f>'Equipment List'!F83</f>
        <v>Not enough data to calculate</v>
      </c>
    </row>
    <row r="90" spans="1:6">
      <c r="A90" s="251" t="str">
        <f>'Equipment List'!A84</f>
        <v>Average Stretchers</v>
      </c>
      <c r="B90" s="284" t="str">
        <f>'Equipment List'!B84</f>
        <v>Not enough data to calculate</v>
      </c>
      <c r="C90" s="285">
        <f>'Equipment List'!C84</f>
        <v>65000</v>
      </c>
      <c r="D90" s="286" t="str">
        <f>'Equipment List'!D84</f>
        <v>Not enough data to calculate</v>
      </c>
      <c r="E90" s="287" t="str">
        <f>'Equipment List'!E84</f>
        <v>Not enough data to calculate</v>
      </c>
      <c r="F90" s="288" t="str">
        <f>'Equipment List'!F84</f>
        <v>Not enough data to calculate</v>
      </c>
    </row>
    <row r="93" spans="1:6">
      <c r="A93" s="600" t="str">
        <f>'Equipment List'!A87</f>
        <v>Cheese Vat</v>
      </c>
      <c r="B93" s="601"/>
      <c r="C93" s="601"/>
      <c r="D93" s="601"/>
      <c r="E93" s="601"/>
      <c r="F93" s="602"/>
    </row>
    <row r="94" spans="1:6">
      <c r="A94" s="179"/>
      <c r="B94" s="296" t="s">
        <v>300</v>
      </c>
      <c r="C94" s="297" t="s">
        <v>281</v>
      </c>
      <c r="D94" s="298" t="s">
        <v>267</v>
      </c>
      <c r="E94" s="299" t="s">
        <v>301</v>
      </c>
      <c r="F94" s="300" t="s">
        <v>302</v>
      </c>
    </row>
    <row r="95" spans="1:6">
      <c r="A95" s="249" t="str">
        <f>'Equipment List'!A89</f>
        <v>ANCO Open Cheese Vat 2000 Gal/17200 Lbs</v>
      </c>
      <c r="B95" s="279">
        <f>'Equipment List'!B89</f>
        <v>3.2914189146057857E-2</v>
      </c>
      <c r="C95" s="280">
        <f>'Equipment List'!C89</f>
        <v>69450</v>
      </c>
      <c r="D95" s="281">
        <f>'Equipment List'!D89</f>
        <v>3.2914189146057857E-2</v>
      </c>
      <c r="E95" s="282">
        <f>'Equipment List'!E89</f>
        <v>1517.9202384810164</v>
      </c>
      <c r="F95" s="283">
        <f>'Equipment List'!F89</f>
        <v>6336.7146463572599</v>
      </c>
    </row>
    <row r="96" spans="1:6">
      <c r="A96" s="249" t="str">
        <f>'Equipment List'!A90</f>
        <v>ANCO Open Cheese Vat 1500 Gal/12900 Lbs</v>
      </c>
      <c r="B96" s="279">
        <f>'Equipment List'!B90</f>
        <v>4.3885585528077142E-2</v>
      </c>
      <c r="C96" s="280">
        <f>'Equipment List'!C90</f>
        <v>64450</v>
      </c>
      <c r="D96" s="281">
        <f>'Equipment List'!D90</f>
        <v>4.3885585528077142E-2</v>
      </c>
      <c r="E96" s="282">
        <f>'Equipment List'!E90</f>
        <v>1125.5248012186591</v>
      </c>
      <c r="F96" s="283">
        <f>'Equipment List'!F90</f>
        <v>4698.6194082620214</v>
      </c>
    </row>
    <row r="97" spans="1:6">
      <c r="A97" s="249" t="str">
        <f>'Equipment List'!A91</f>
        <v>ANCO Open Cheese Vat 1200 Gal/10320 Lbs</v>
      </c>
      <c r="B97" s="279">
        <f>'Equipment List'!B91</f>
        <v>5.4856981910096421E-2</v>
      </c>
      <c r="C97" s="280">
        <f>'Equipment List'!C91</f>
        <v>59450</v>
      </c>
      <c r="D97" s="281">
        <f>'Equipment List'!D91</f>
        <v>5.4856981910096428E-2</v>
      </c>
      <c r="E97" s="282">
        <f>'Equipment List'!E91</f>
        <v>890.08753886124441</v>
      </c>
      <c r="F97" s="283">
        <f>'Equipment List'!F91</f>
        <v>3715.7622654048778</v>
      </c>
    </row>
    <row r="98" spans="1:6">
      <c r="A98" s="249" t="str">
        <f>'Equipment List'!A92</f>
        <v>ANCO Open Cheese Vat 1000 Gal/8600 Lbs</v>
      </c>
      <c r="B98" s="279">
        <f>'Equipment List'!B92</f>
        <v>6.5828378292115713E-2</v>
      </c>
      <c r="C98" s="280">
        <f>'Equipment List'!C92</f>
        <v>55450</v>
      </c>
      <c r="D98" s="281">
        <f>'Equipment List'!D92</f>
        <v>6.5828378292115713E-2</v>
      </c>
      <c r="E98" s="282">
        <f>'Equipment List'!E92</f>
        <v>733.12936395630152</v>
      </c>
      <c r="F98" s="283">
        <f>'Equipment List'!F92</f>
        <v>3060.5241701667824</v>
      </c>
    </row>
    <row r="99" spans="1:6">
      <c r="A99" s="249" t="str">
        <f>'Equipment List'!A93</f>
        <v>ANCO Open Cheese Vat 800 Gal/6880 Lbs</v>
      </c>
      <c r="B99" s="279">
        <f>'Equipment List'!B93</f>
        <v>8.2285472865144635E-2</v>
      </c>
      <c r="C99" s="280">
        <f>'Equipment List'!C93</f>
        <v>41950</v>
      </c>
      <c r="D99" s="281">
        <f>'Equipment List'!D93</f>
        <v>8.2285472865144635E-2</v>
      </c>
      <c r="E99" s="282">
        <f>'Equipment List'!E93</f>
        <v>576.17118905135851</v>
      </c>
      <c r="F99" s="283">
        <f>'Equipment List'!F93</f>
        <v>2405.286074928687</v>
      </c>
    </row>
    <row r="100" spans="1:6">
      <c r="A100" s="249" t="str">
        <f>'Equipment List'!A94</f>
        <v>ANCO Open Cheese Vat 600 Gal/5160 Lbs</v>
      </c>
      <c r="B100" s="279">
        <f>'Equipment List'!B94</f>
        <v>0.10971396382019284</v>
      </c>
      <c r="C100" s="280">
        <f>'Equipment List'!C94</f>
        <v>38950</v>
      </c>
      <c r="D100" s="281">
        <f>'Equipment List'!D94</f>
        <v>0.10971396382019286</v>
      </c>
      <c r="E100" s="282">
        <f>'Equipment List'!E94</f>
        <v>419.21301414641567</v>
      </c>
      <c r="F100" s="283">
        <f>'Equipment List'!F94</f>
        <v>1750.0479796905922</v>
      </c>
    </row>
    <row r="101" spans="1:6">
      <c r="A101" s="249" t="str">
        <f>'Equipment List'!A95</f>
        <v>ANCO Open Cheese Vat 500 Gal/4300 Lbs</v>
      </c>
      <c r="B101" s="279">
        <f>'Equipment List'!B95</f>
        <v>0.13165675658423143</v>
      </c>
      <c r="C101" s="280">
        <f>'Equipment List'!C95</f>
        <v>36950</v>
      </c>
      <c r="D101" s="281">
        <f>'Equipment List'!D95</f>
        <v>0.13165675658423143</v>
      </c>
      <c r="E101" s="282">
        <f>'Equipment List'!E95</f>
        <v>340.73392669394411</v>
      </c>
      <c r="F101" s="283">
        <f>'Equipment List'!F95</f>
        <v>1422.4289320715445</v>
      </c>
    </row>
    <row r="102" spans="1:6">
      <c r="A102" s="249" t="str">
        <f>'Equipment List'!A96</f>
        <v>ANCO Open Cheese Vat 400 Gal/3440 Lbs</v>
      </c>
      <c r="B102" s="279">
        <f>'Equipment List'!B96</f>
        <v>0.16457094573028927</v>
      </c>
      <c r="C102" s="280">
        <f>'Equipment List'!C96</f>
        <v>34950</v>
      </c>
      <c r="D102" s="281">
        <f>'Equipment List'!D96</f>
        <v>0.16457094573028927</v>
      </c>
      <c r="E102" s="282">
        <f>'Equipment List'!E96</f>
        <v>262.25483924147267</v>
      </c>
      <c r="F102" s="283">
        <f>'Equipment List'!F96</f>
        <v>1094.809884452497</v>
      </c>
    </row>
    <row r="103" spans="1:6">
      <c r="A103" s="249" t="str">
        <f>'Equipment List'!A97</f>
        <v>ANCO Open Cheese Vat 300 Gal/2580 Lbs</v>
      </c>
      <c r="B103" s="279">
        <f>'Equipment List'!B97</f>
        <v>0.21942792764038568</v>
      </c>
      <c r="C103" s="280">
        <f>'Equipment List'!C97</f>
        <v>33250</v>
      </c>
      <c r="D103" s="281">
        <f>'Equipment List'!D97</f>
        <v>0.21942792764038571</v>
      </c>
      <c r="E103" s="282">
        <f>'Equipment List'!E97</f>
        <v>183.77575178900122</v>
      </c>
      <c r="F103" s="283">
        <f>'Equipment List'!F97</f>
        <v>767.19083683344957</v>
      </c>
    </row>
    <row r="104" spans="1:6">
      <c r="A104" s="249" t="str">
        <f>'Equipment List'!A98</f>
        <v>ANCO Open Cheese Vat 200 Gal/1720 Lbs</v>
      </c>
      <c r="B104" s="279">
        <f>'Equipment List'!B98</f>
        <v>0.32914189146057854</v>
      </c>
      <c r="C104" s="280">
        <f>'Equipment List'!C98</f>
        <v>23950</v>
      </c>
      <c r="D104" s="281">
        <f>'Equipment List'!D98</f>
        <v>0.32914189146057854</v>
      </c>
      <c r="E104" s="282">
        <f>'Equipment List'!E98</f>
        <v>105.2966643365297</v>
      </c>
      <c r="F104" s="283">
        <f>'Equipment List'!F98</f>
        <v>439.5717892144018</v>
      </c>
    </row>
    <row r="105" spans="1:6">
      <c r="A105" s="249" t="str">
        <f>'Equipment List'!A99</f>
        <v>ANCO Open Cheese Vat 100 Gal/860 Lbs</v>
      </c>
      <c r="B105" s="279">
        <f>'Equipment List'!B99</f>
        <v>0.65828378292115708</v>
      </c>
      <c r="C105" s="280">
        <f>'Equipment List'!C99</f>
        <v>21950</v>
      </c>
      <c r="D105" s="281">
        <f>'Equipment List'!D99</f>
        <v>0.65828378292115708</v>
      </c>
      <c r="E105" s="282">
        <f>'Equipment List'!E99</f>
        <v>26.817576884058244</v>
      </c>
      <c r="F105" s="283">
        <f>'Equipment List'!F99</f>
        <v>111.95274159535425</v>
      </c>
    </row>
    <row r="106" spans="1:6">
      <c r="A106" s="249" t="str">
        <f>'Equipment List'!A100</f>
        <v>Quoted Open Cheese Vat</v>
      </c>
      <c r="B106" s="279">
        <f>'Equipment List'!B100</f>
        <v>8760</v>
      </c>
      <c r="C106" s="280">
        <f>'Equipment List'!C100</f>
        <v>0</v>
      </c>
      <c r="D106" s="281" t="str">
        <f>'Equipment List'!D100</f>
        <v>Not enough data to calculate</v>
      </c>
      <c r="E106" s="282" t="str">
        <f>'Equipment List'!E100</f>
        <v>Not enough data to calculate</v>
      </c>
      <c r="F106" s="283" t="str">
        <f>'Equipment List'!F100</f>
        <v>Not enough data to calculate</v>
      </c>
    </row>
    <row r="107" spans="1:6">
      <c r="A107" s="251" t="str">
        <f>'Equipment List'!A101</f>
        <v>Average Open Cheese Vat</v>
      </c>
      <c r="B107" s="284" t="str">
        <f>'Equipment List'!B101</f>
        <v>Not enough data to calculate</v>
      </c>
      <c r="C107" s="285">
        <f>'Equipment List'!C101</f>
        <v>40299.25</v>
      </c>
      <c r="D107" s="286" t="str">
        <f>'Equipment List'!D101</f>
        <v>Not enough data to calculate</v>
      </c>
      <c r="E107" s="287" t="str">
        <f>'Equipment List'!E101</f>
        <v>Not enough data to calculate</v>
      </c>
      <c r="F107" s="288" t="str">
        <f>'Equipment List'!F101</f>
        <v>Not enough data to calculate</v>
      </c>
    </row>
    <row r="119" spans="1:6">
      <c r="A119" s="600" t="str">
        <f>'Equipment List'!A104</f>
        <v>Combination Vat Pasteurizer and Cheese Vat</v>
      </c>
      <c r="B119" s="601"/>
      <c r="C119" s="601"/>
      <c r="D119" s="601"/>
      <c r="E119" s="601"/>
      <c r="F119" s="602"/>
    </row>
    <row r="120" spans="1:6">
      <c r="A120" s="179"/>
      <c r="B120" s="296" t="s">
        <v>300</v>
      </c>
      <c r="C120" s="297" t="s">
        <v>281</v>
      </c>
      <c r="D120" s="298" t="s">
        <v>267</v>
      </c>
      <c r="E120" s="299" t="s">
        <v>301</v>
      </c>
      <c r="F120" s="300" t="s">
        <v>302</v>
      </c>
    </row>
    <row r="121" spans="1:6">
      <c r="A121" s="249" t="str">
        <f>'Equipment List'!A106</f>
        <v>ANCO Open Top Batch Pasteurizer 300 Gal</v>
      </c>
      <c r="B121" s="279">
        <f>'Equipment List'!B106</f>
        <v>0.21942792764038568</v>
      </c>
      <c r="C121" s="280">
        <f>'Equipment List'!C106</f>
        <v>24075</v>
      </c>
      <c r="D121" s="281">
        <f>'Equipment List'!D106</f>
        <v>0.21942792764038571</v>
      </c>
      <c r="E121" s="282">
        <f>'Equipment List'!E106</f>
        <v>183.77575178900122</v>
      </c>
      <c r="F121" s="283">
        <f>'Equipment List'!F106</f>
        <v>767.19083683344957</v>
      </c>
    </row>
    <row r="122" spans="1:6">
      <c r="A122" s="249" t="str">
        <f>'Equipment List'!A107</f>
        <v>ANCO Open Top Batch Pasteurizer 300 Gal with PMO accessories</v>
      </c>
      <c r="B122" s="279">
        <f>'Equipment List'!B107</f>
        <v>0.21942801097371903</v>
      </c>
      <c r="C122" s="280">
        <f>'Equipment List'!C107</f>
        <v>33175</v>
      </c>
      <c r="D122" s="281">
        <f>'Equipment List'!D107</f>
        <v>0.21942792764038571</v>
      </c>
      <c r="E122" s="282">
        <f>'Equipment List'!E107</f>
        <v>183.77575178900122</v>
      </c>
      <c r="F122" s="283">
        <f>'Equipment List'!F107</f>
        <v>767.19083683344957</v>
      </c>
    </row>
    <row r="123" spans="1:6">
      <c r="A123" s="249" t="str">
        <f>'Equipment List'!A108</f>
        <v>ANCO Open Top Batch Pasteurizer 250 Gal</v>
      </c>
      <c r="B123" s="279">
        <f>'Equipment List'!B108</f>
        <v>0.26331351316846285</v>
      </c>
      <c r="C123" s="280">
        <f>'Equipment List'!C108</f>
        <v>22000</v>
      </c>
      <c r="D123" s="281">
        <f>'Equipment List'!D108</f>
        <v>0.26331351316846285</v>
      </c>
      <c r="E123" s="282">
        <f>'Equipment List'!E108</f>
        <v>144.53620806276547</v>
      </c>
      <c r="F123" s="283">
        <f>'Equipment List'!F108</f>
        <v>603.38131302392571</v>
      </c>
    </row>
    <row r="124" spans="1:6">
      <c r="A124" s="249" t="str">
        <f>'Equipment List'!A109</f>
        <v>ANCO Open Top Batch Pasteurizer 250 Gal with PMO accessories</v>
      </c>
      <c r="B124" s="279">
        <f>'Equipment List'!B109</f>
        <v>0.2633135965017962</v>
      </c>
      <c r="C124" s="280">
        <f>'Equipment List'!C109</f>
        <v>31100</v>
      </c>
      <c r="D124" s="281">
        <f>'Equipment List'!D109</f>
        <v>0.26331351316846285</v>
      </c>
      <c r="E124" s="282">
        <f>'Equipment List'!E109</f>
        <v>144.53620806276547</v>
      </c>
      <c r="F124" s="283">
        <f>'Equipment List'!F109</f>
        <v>603.38131302392571</v>
      </c>
    </row>
    <row r="125" spans="1:6">
      <c r="A125" s="249" t="str">
        <f>'Equipment List'!A110</f>
        <v>ANCO Open Top Batch Pasteurizer 200 Gal</v>
      </c>
      <c r="B125" s="279">
        <f>'Equipment List'!B110</f>
        <v>0.32914189146057854</v>
      </c>
      <c r="C125" s="280">
        <f>'Equipment List'!C110</f>
        <v>20575</v>
      </c>
      <c r="D125" s="281">
        <f>'Equipment List'!D110</f>
        <v>0.32914189146057854</v>
      </c>
      <c r="E125" s="282">
        <f>'Equipment List'!E110</f>
        <v>105.2966643365297</v>
      </c>
      <c r="F125" s="283">
        <f>'Equipment List'!F110</f>
        <v>439.5717892144018</v>
      </c>
    </row>
    <row r="126" spans="1:6">
      <c r="A126" s="249" t="str">
        <f>'Equipment List'!A111</f>
        <v>ANCO Open Top Batch Pasteurizer 200 Gal with PMO accessories</v>
      </c>
      <c r="B126" s="279">
        <f>'Equipment List'!B111</f>
        <v>0.32914197479391188</v>
      </c>
      <c r="C126" s="280">
        <f>'Equipment List'!C111</f>
        <v>29675</v>
      </c>
      <c r="D126" s="281">
        <f>'Equipment List'!D111</f>
        <v>0.32914189146057854</v>
      </c>
      <c r="E126" s="282">
        <f>'Equipment List'!E111</f>
        <v>105.2966643365297</v>
      </c>
      <c r="F126" s="283">
        <f>'Equipment List'!F111</f>
        <v>439.5717892144018</v>
      </c>
    </row>
    <row r="127" spans="1:6">
      <c r="A127" s="249" t="str">
        <f>'Equipment List'!A112</f>
        <v>ANCO Open Top Batch Pasteurizer 150 Gal</v>
      </c>
      <c r="B127" s="279">
        <f>'Equipment List'!B112</f>
        <v>0.43885585528077137</v>
      </c>
      <c r="C127" s="280">
        <f>'Equipment List'!C112</f>
        <v>19575</v>
      </c>
      <c r="D127" s="281">
        <f>'Equipment List'!D112</f>
        <v>0.43885585528077142</v>
      </c>
      <c r="E127" s="282">
        <f>'Equipment List'!E112</f>
        <v>66.057120610293978</v>
      </c>
      <c r="F127" s="283">
        <f>'Equipment List'!F112</f>
        <v>275.76226540487806</v>
      </c>
    </row>
    <row r="128" spans="1:6">
      <c r="A128" s="249" t="str">
        <f>'Equipment List'!A113</f>
        <v>ANCO Open Top Batch Pasteurizer 150 Gal with PMO accessories</v>
      </c>
      <c r="B128" s="279">
        <f>'Equipment List'!B113</f>
        <v>0.43885593861410471</v>
      </c>
      <c r="C128" s="280">
        <f>'Equipment List'!C113</f>
        <v>28675</v>
      </c>
      <c r="D128" s="281">
        <f>'Equipment List'!D113</f>
        <v>0.43885585528077142</v>
      </c>
      <c r="E128" s="282">
        <f>'Equipment List'!E113</f>
        <v>66.057120610293978</v>
      </c>
      <c r="F128" s="283">
        <f>'Equipment List'!F113</f>
        <v>275.76226540487806</v>
      </c>
    </row>
    <row r="129" spans="1:6">
      <c r="A129" s="249" t="str">
        <f>'Equipment List'!A114</f>
        <v>ANCO Open Top Batch Pasteurizer 100 Gal</v>
      </c>
      <c r="B129" s="279">
        <f>'Equipment List'!B114</f>
        <v>0.65828378292115708</v>
      </c>
      <c r="C129" s="280">
        <f>'Equipment List'!C114</f>
        <v>18575</v>
      </c>
      <c r="D129" s="281">
        <f>'Equipment List'!D114</f>
        <v>0.65828378292115708</v>
      </c>
      <c r="E129" s="282">
        <f>'Equipment List'!E114</f>
        <v>26.817576884058244</v>
      </c>
      <c r="F129" s="283">
        <f>'Equipment List'!F114</f>
        <v>111.95274159535425</v>
      </c>
    </row>
    <row r="130" spans="1:6">
      <c r="A130" s="249" t="str">
        <f>'Equipment List'!A115</f>
        <v>ANCO Open Top Batch Pasteurizer 100 Gal with PMO accessories</v>
      </c>
      <c r="B130" s="279">
        <f>'Equipment List'!B115</f>
        <v>0.65828386625449042</v>
      </c>
      <c r="C130" s="280">
        <f>'Equipment List'!C115</f>
        <v>27675</v>
      </c>
      <c r="D130" s="281">
        <f>'Equipment List'!D115</f>
        <v>0.65828378292115708</v>
      </c>
      <c r="E130" s="282">
        <f>'Equipment List'!E115</f>
        <v>26.817576884058244</v>
      </c>
      <c r="F130" s="283">
        <f>'Equipment List'!F115</f>
        <v>111.95274159535425</v>
      </c>
    </row>
    <row r="131" spans="1:6">
      <c r="A131" s="249" t="str">
        <f>'Equipment List'!A116</f>
        <v>ANCO Open Top Batch Pasteurizer 50 Gal</v>
      </c>
      <c r="B131" s="279">
        <f>'Equipment List'!B116</f>
        <v>1.3165675658423142</v>
      </c>
      <c r="C131" s="280">
        <f>'Equipment List'!C116</f>
        <v>16575</v>
      </c>
      <c r="D131" s="281">
        <f>'Equipment List'!D116</f>
        <v>1.3165675658423142</v>
      </c>
      <c r="E131" s="282">
        <f>'Equipment List'!E116</f>
        <v>-12.421966842177499</v>
      </c>
      <c r="F131" s="283">
        <f>'Equipment List'!F116</f>
        <v>-51.856782214169556</v>
      </c>
    </row>
    <row r="132" spans="1:6">
      <c r="A132" s="249" t="str">
        <f>'Equipment List'!A117</f>
        <v>ANCO Open Top Batch Pasteurizer 50 Gal with PMO accessories</v>
      </c>
      <c r="B132" s="279">
        <f>'Equipment List'!B117</f>
        <v>1.3165676491756475</v>
      </c>
      <c r="C132" s="280">
        <f>'Equipment List'!C117</f>
        <v>25675</v>
      </c>
      <c r="D132" s="281">
        <f>'Equipment List'!D117</f>
        <v>1.3165675658423142</v>
      </c>
      <c r="E132" s="282">
        <f>'Equipment List'!E117</f>
        <v>-12.421966842177499</v>
      </c>
      <c r="F132" s="283">
        <f>'Equipment List'!F117</f>
        <v>-51.856782214169556</v>
      </c>
    </row>
    <row r="133" spans="1:6">
      <c r="A133" s="249" t="str">
        <f>'Equipment List'!A118</f>
        <v>Quoted Batch Pasteurizer Vat Combo</v>
      </c>
      <c r="B133" s="279">
        <f>'Equipment List'!B118</f>
        <v>8760</v>
      </c>
      <c r="C133" s="280">
        <f>'Equipment List'!C118</f>
        <v>0</v>
      </c>
      <c r="D133" s="281" t="str">
        <f>'Equipment List'!D118</f>
        <v>Not enough data to calculate</v>
      </c>
      <c r="E133" s="282" t="str">
        <f>'Equipment List'!E118</f>
        <v>Not enough data to calculate</v>
      </c>
      <c r="F133" s="283" t="str">
        <f>'Equipment List'!F118</f>
        <v>Not enough data to calculate</v>
      </c>
    </row>
    <row r="134" spans="1:6">
      <c r="A134" s="251" t="str">
        <f>'Equipment List'!A119</f>
        <v>Average Batch Pasteurizer Vat Combo</v>
      </c>
      <c r="B134" s="284" t="str">
        <f>'Equipment List'!B119</f>
        <v>Not enough data to calculate</v>
      </c>
      <c r="C134" s="285">
        <f>'Equipment List'!C119</f>
        <v>31911.07</v>
      </c>
      <c r="D134" s="286" t="str">
        <f>'Equipment List'!D119</f>
        <v>Not enough data to calculate</v>
      </c>
      <c r="E134" s="287" t="str">
        <f>'Equipment List'!E119</f>
        <v>Not enough data to calculate</v>
      </c>
      <c r="F134" s="288" t="str">
        <f>'Equipment List'!F119</f>
        <v>Not enough data to calculate</v>
      </c>
    </row>
    <row r="136" spans="1:6">
      <c r="A136" s="600" t="str">
        <f>'Equipment List'!A122</f>
        <v>Vat Pasteurizer</v>
      </c>
      <c r="B136" s="601"/>
      <c r="C136" s="601"/>
      <c r="D136" s="601"/>
      <c r="E136" s="601"/>
      <c r="F136" s="602"/>
    </row>
    <row r="137" spans="1:6">
      <c r="A137" s="179"/>
      <c r="B137" s="296" t="s">
        <v>300</v>
      </c>
      <c r="C137" s="297" t="s">
        <v>281</v>
      </c>
      <c r="D137" s="298" t="s">
        <v>267</v>
      </c>
      <c r="E137" s="299" t="s">
        <v>301</v>
      </c>
      <c r="F137" s="300" t="s">
        <v>302</v>
      </c>
    </row>
    <row r="138" spans="1:6">
      <c r="A138" s="249" t="str">
        <f>'Equipment List'!A124</f>
        <v>ANCO Equipment (2000 gal. capacity)</v>
      </c>
      <c r="B138" s="279">
        <f>'Equipment List'!B124</f>
        <v>3.2914189146057857E-2</v>
      </c>
      <c r="C138" s="280">
        <f>'Equipment List'!C124</f>
        <v>56000</v>
      </c>
      <c r="D138" s="281">
        <f>'Equipment List'!D124</f>
        <v>3.2914189146057857E-2</v>
      </c>
      <c r="E138" s="282">
        <f>'Equipment List'!E124</f>
        <v>758.96011924050822</v>
      </c>
      <c r="F138" s="283">
        <f>'Equipment List'!F124</f>
        <v>3168.3573231786299</v>
      </c>
    </row>
    <row r="139" spans="1:6">
      <c r="A139" s="249" t="str">
        <f>'Equipment List'!A125</f>
        <v>ANCO Equipment (1500 gal. capacity)</v>
      </c>
      <c r="B139" s="279">
        <f>'Equipment List'!B125</f>
        <v>4.3885585528077142E-2</v>
      </c>
      <c r="C139" s="280">
        <f>'Equipment List'!C125</f>
        <v>49500</v>
      </c>
      <c r="D139" s="281">
        <f>'Equipment List'!D125</f>
        <v>4.3885585528077142E-2</v>
      </c>
      <c r="E139" s="282">
        <f>'Equipment List'!E125</f>
        <v>562.76240060932957</v>
      </c>
      <c r="F139" s="283">
        <f>'Equipment List'!F125</f>
        <v>2349.3097041310107</v>
      </c>
    </row>
    <row r="140" spans="1:6">
      <c r="A140" s="249" t="str">
        <f>'Equipment List'!A126</f>
        <v>ANCO Equipment (1200 gal. capacity)</v>
      </c>
      <c r="B140" s="279">
        <f>'Equipment List'!B126</f>
        <v>5.4856981910096421E-2</v>
      </c>
      <c r="C140" s="280">
        <f>'Equipment List'!C126</f>
        <v>45500</v>
      </c>
      <c r="D140" s="281">
        <f>'Equipment List'!D126</f>
        <v>5.4856981910096428E-2</v>
      </c>
      <c r="E140" s="282">
        <f>'Equipment List'!E126</f>
        <v>445.04376943062221</v>
      </c>
      <c r="F140" s="283">
        <f>'Equipment List'!F126</f>
        <v>1857.8811327024389</v>
      </c>
    </row>
    <row r="141" spans="1:6">
      <c r="A141" s="249" t="str">
        <f>'Equipment List'!A127</f>
        <v>ANCO Equipment (1000 gal. capacity)</v>
      </c>
      <c r="B141" s="279">
        <f>'Equipment List'!B127</f>
        <v>6.5828378292115713E-2</v>
      </c>
      <c r="C141" s="280">
        <f>'Equipment List'!C127</f>
        <v>39500</v>
      </c>
      <c r="D141" s="281">
        <f>'Equipment List'!D127</f>
        <v>6.5828378292115713E-2</v>
      </c>
      <c r="E141" s="282">
        <f>'Equipment List'!E127</f>
        <v>366.56468197815076</v>
      </c>
      <c r="F141" s="283">
        <f>'Equipment List'!F127</f>
        <v>1530.2620850833912</v>
      </c>
    </row>
    <row r="142" spans="1:6">
      <c r="A142" s="249" t="str">
        <f>'Equipment List'!A128</f>
        <v>ANCO Equipment (800 gal. capacity)</v>
      </c>
      <c r="B142" s="279">
        <f>'Equipment List'!B128</f>
        <v>8.2285472865144635E-2</v>
      </c>
      <c r="C142" s="280">
        <f>'Equipment List'!C128</f>
        <v>32000</v>
      </c>
      <c r="D142" s="281">
        <f>'Equipment List'!D128</f>
        <v>8.2285472865144635E-2</v>
      </c>
      <c r="E142" s="282">
        <f>'Equipment List'!E128</f>
        <v>288.08559452567926</v>
      </c>
      <c r="F142" s="283">
        <f>'Equipment List'!F128</f>
        <v>1202.6430374643435</v>
      </c>
    </row>
    <row r="143" spans="1:6">
      <c r="A143" s="249" t="str">
        <f>'Equipment List'!A129</f>
        <v>ANCO Equipment (600 gal. capacity)</v>
      </c>
      <c r="B143" s="279">
        <f>'Equipment List'!B129</f>
        <v>0.10971396382019284</v>
      </c>
      <c r="C143" s="280">
        <f>'Equipment List'!C129</f>
        <v>28500</v>
      </c>
      <c r="D143" s="281">
        <f>'Equipment List'!D129</f>
        <v>0.10971396382019286</v>
      </c>
      <c r="E143" s="282">
        <f>'Equipment List'!E129</f>
        <v>209.60650707320784</v>
      </c>
      <c r="F143" s="283">
        <f>'Equipment List'!F129</f>
        <v>875.02398984529611</v>
      </c>
    </row>
    <row r="144" spans="1:6">
      <c r="A144" s="249" t="str">
        <f>'Equipment List'!A130</f>
        <v>ANCO Equipment (500 gal. capcity)</v>
      </c>
      <c r="B144" s="279">
        <f>'Equipment List'!B130</f>
        <v>0.13165675658423143</v>
      </c>
      <c r="C144" s="280">
        <f>'Equipment List'!C130</f>
        <v>26500</v>
      </c>
      <c r="D144" s="281">
        <f>'Equipment List'!D130</f>
        <v>0.13165675658423143</v>
      </c>
      <c r="E144" s="282">
        <f>'Equipment List'!E130</f>
        <v>170.36696334697206</v>
      </c>
      <c r="F144" s="283">
        <f>'Equipment List'!F130</f>
        <v>711.21446603577226</v>
      </c>
    </row>
    <row r="145" spans="1:6">
      <c r="A145" s="249" t="str">
        <f>'Equipment List'!A131</f>
        <v>ANCO Equipment (400 gal. capacity)</v>
      </c>
      <c r="B145" s="279">
        <f>'Equipment List'!B131</f>
        <v>0.16457094573028927</v>
      </c>
      <c r="C145" s="280">
        <f>'Equipment List'!C131</f>
        <v>24000</v>
      </c>
      <c r="D145" s="281">
        <f>'Equipment List'!D131</f>
        <v>0.16457094573028927</v>
      </c>
      <c r="E145" s="282">
        <f>'Equipment List'!E131</f>
        <v>131.12741962073633</v>
      </c>
      <c r="F145" s="283">
        <f>'Equipment List'!F131</f>
        <v>547.40494222624852</v>
      </c>
    </row>
    <row r="146" spans="1:6">
      <c r="A146" s="249" t="str">
        <f>'Equipment List'!A132</f>
        <v>ANCO Equipment (300 gal. capacity)</v>
      </c>
      <c r="B146" s="279">
        <f>'Equipment List'!B132</f>
        <v>0.21942792764038568</v>
      </c>
      <c r="C146" s="280">
        <f>'Equipment List'!C132</f>
        <v>20000</v>
      </c>
      <c r="D146" s="281">
        <f>'Equipment List'!D132</f>
        <v>0.21942792764038571</v>
      </c>
      <c r="E146" s="282">
        <f>'Equipment List'!E132</f>
        <v>91.88787589450061</v>
      </c>
      <c r="F146" s="283">
        <f>'Equipment List'!F132</f>
        <v>383.59541841672478</v>
      </c>
    </row>
    <row r="147" spans="1:6">
      <c r="A147" s="249" t="str">
        <f>'Equipment List'!A133</f>
        <v>ANCO Equipment (200 gal. capacity)</v>
      </c>
      <c r="B147" s="279">
        <f>'Equipment List'!B133</f>
        <v>0.32914189146057854</v>
      </c>
      <c r="C147" s="280">
        <f>'Equipment List'!C133</f>
        <v>18000</v>
      </c>
      <c r="D147" s="281">
        <f>'Equipment List'!D133</f>
        <v>0.32914189146057854</v>
      </c>
      <c r="E147" s="282">
        <f>'Equipment List'!E133</f>
        <v>52.648332168264851</v>
      </c>
      <c r="F147" s="283">
        <f>'Equipment List'!F133</f>
        <v>219.7858946072009</v>
      </c>
    </row>
    <row r="148" spans="1:6">
      <c r="A148" s="249" t="str">
        <f>'Equipment List'!A134</f>
        <v>MicroDairy Designs (99 gal. capacity)</v>
      </c>
      <c r="B148" s="279">
        <f>'Equipment List'!B134</f>
        <v>0.6649331140617748</v>
      </c>
      <c r="C148" s="280">
        <f>'Equipment List'!C134</f>
        <v>18000</v>
      </c>
      <c r="D148" s="281">
        <f>'Equipment List'!D134</f>
        <v>0.66493311406177491</v>
      </c>
      <c r="E148" s="282">
        <f>'Equipment List'!E134</f>
        <v>13.016393004766762</v>
      </c>
      <c r="F148" s="283">
        <f>'Equipment List'!F134</f>
        <v>54.338275559581874</v>
      </c>
    </row>
    <row r="149" spans="1:6">
      <c r="A149" s="249" t="str">
        <f>'Equipment List'!A135</f>
        <v>MicroDairy Designs (60 gal. capacity)</v>
      </c>
      <c r="B149" s="279">
        <f>'Equipment List'!B135</f>
        <v>1.0971396382019285</v>
      </c>
      <c r="C149" s="280">
        <f>'Equipment List'!C135</f>
        <v>16000</v>
      </c>
      <c r="D149" s="281">
        <f>'Equipment List'!D135</f>
        <v>1.0971396382019285</v>
      </c>
      <c r="E149" s="282">
        <f>'Equipment List'!E135</f>
        <v>-2.2870290484651759</v>
      </c>
      <c r="F149" s="283">
        <f>'Equipment List'!F135</f>
        <v>-9.5474387261324019</v>
      </c>
    </row>
    <row r="150" spans="1:6">
      <c r="A150" s="249" t="str">
        <f>'Equipment List'!A136</f>
        <v>MicroDairy Designs (45 gal. capacity)</v>
      </c>
      <c r="B150" s="279">
        <f>'Equipment List'!B136</f>
        <v>1.4628528509359047</v>
      </c>
      <c r="C150" s="280">
        <f>'Equipment List'!C136</f>
        <v>13000</v>
      </c>
      <c r="D150" s="281">
        <f>'Equipment List'!D136</f>
        <v>1.4628528509359047</v>
      </c>
      <c r="E150" s="282">
        <f>'Equipment List'!E136</f>
        <v>-8.1729606074005368</v>
      </c>
      <c r="F150" s="283">
        <f>'Equipment List'!F136</f>
        <v>-34.118867297560968</v>
      </c>
    </row>
    <row r="151" spans="1:6">
      <c r="A151" s="249" t="str">
        <f>'Equipment List'!A137</f>
        <v>MicroDairy Designs (30 gal. capacity)</v>
      </c>
      <c r="B151" s="279">
        <f>'Equipment List'!B137</f>
        <v>2.194279276403857</v>
      </c>
      <c r="C151" s="280">
        <f>'Equipment List'!C137</f>
        <v>10000</v>
      </c>
      <c r="D151" s="281">
        <f>'Equipment List'!D137</f>
        <v>2.194279276403857</v>
      </c>
      <c r="E151" s="282">
        <f>'Equipment List'!E137</f>
        <v>-14.058892166335898</v>
      </c>
      <c r="F151" s="283">
        <f>'Equipment List'!F137</f>
        <v>-58.690295868989537</v>
      </c>
    </row>
    <row r="152" spans="1:6">
      <c r="A152" s="249" t="str">
        <f>'Equipment List'!A138</f>
        <v>MicroDairy Designs (15 gal. capacity)</v>
      </c>
      <c r="B152" s="279">
        <f>'Equipment List'!B138</f>
        <v>4.388558552807714</v>
      </c>
      <c r="C152" s="280">
        <f>'Equipment List'!C138</f>
        <v>7000</v>
      </c>
      <c r="D152" s="281">
        <f>'Equipment List'!D138</f>
        <v>4.388558552807714</v>
      </c>
      <c r="E152" s="282">
        <f>'Equipment List'!E138</f>
        <v>-19.944823725271259</v>
      </c>
      <c r="F152" s="283">
        <f>'Equipment List'!F138</f>
        <v>-83.261724440418121</v>
      </c>
    </row>
    <row r="153" spans="1:6">
      <c r="A153" s="249" t="str">
        <f>'Equipment List'!A139</f>
        <v>MicroDairy Designs (4 gal. capacity)</v>
      </c>
      <c r="B153" s="279">
        <f>'Equipment List'!B139</f>
        <v>16.457094573028929</v>
      </c>
      <c r="C153" s="280">
        <f>'Equipment List'!C139</f>
        <v>5500</v>
      </c>
      <c r="D153" s="281">
        <f>'Equipment List'!D139</f>
        <v>16.457094573028929</v>
      </c>
      <c r="E153" s="282">
        <f>'Equipment List'!E139</f>
        <v>-24.261173535157194</v>
      </c>
      <c r="F153" s="283">
        <f>'Equipment List'!F139</f>
        <v>-101.28077205946575</v>
      </c>
    </row>
    <row r="154" spans="1:6">
      <c r="A154" s="249" t="str">
        <f>'Equipment List'!A140</f>
        <v>Quoted Vat Pasteurizer</v>
      </c>
      <c r="B154" s="279">
        <f>'Equipment List'!B140</f>
        <v>17520</v>
      </c>
      <c r="C154" s="280">
        <f>'Equipment List'!C140</f>
        <v>0</v>
      </c>
      <c r="D154" s="281" t="str">
        <f>'Equipment List'!D140</f>
        <v>Not enough data to calculate</v>
      </c>
      <c r="E154" s="282" t="str">
        <f>'Equipment List'!E140</f>
        <v>Not enough data to calculate</v>
      </c>
      <c r="F154" s="283" t="str">
        <f>'Equipment List'!F140</f>
        <v>Not enough data to calculate</v>
      </c>
    </row>
    <row r="155" spans="1:6">
      <c r="A155" s="251" t="str">
        <f>'Equipment List'!A141</f>
        <v>Average Vat Pasteurizer</v>
      </c>
      <c r="B155" s="284" t="str">
        <f>'Equipment List'!B141</f>
        <v>Not enough data to calculate</v>
      </c>
      <c r="C155" s="285">
        <f>'Equipment List'!C141</f>
        <v>27381.439999999999</v>
      </c>
      <c r="D155" s="286" t="str">
        <f>'Equipment List'!D141</f>
        <v>Not enough data to calculate</v>
      </c>
      <c r="E155" s="287" t="str">
        <f>'Equipment List'!E141</f>
        <v>Not enough data to calculate</v>
      </c>
      <c r="F155" s="288" t="str">
        <f>'Equipment List'!F141</f>
        <v>Not enough data to calculate</v>
      </c>
    </row>
    <row r="157" spans="1:6">
      <c r="A157" s="600" t="str">
        <f>'Equipment List'!A144</f>
        <v>In-Line Pastuerizers</v>
      </c>
      <c r="B157" s="601"/>
      <c r="C157" s="601"/>
      <c r="D157" s="601"/>
      <c r="E157" s="601"/>
      <c r="F157" s="602"/>
    </row>
    <row r="158" spans="1:6">
      <c r="A158" s="179"/>
      <c r="B158" s="296" t="s">
        <v>300</v>
      </c>
      <c r="C158" s="297" t="s">
        <v>281</v>
      </c>
      <c r="D158" s="298" t="s">
        <v>267</v>
      </c>
      <c r="E158" s="299" t="s">
        <v>301</v>
      </c>
      <c r="F158" s="300" t="s">
        <v>302</v>
      </c>
    </row>
    <row r="159" spans="1:6">
      <c r="A159" s="249" t="str">
        <f>'Equipment List'!A146</f>
        <v>In-line Pasteurizer 3500 gal/hr</v>
      </c>
      <c r="B159" s="279">
        <f>'Equipment List'!B146</f>
        <v>9.404054041730817E-3</v>
      </c>
      <c r="C159" s="280">
        <f>'Equipment List'!C146</f>
        <v>120000</v>
      </c>
      <c r="D159" s="281">
        <f>'Equipment List'!D146</f>
        <v>9.4040540417308152E-3</v>
      </c>
      <c r="E159" s="282">
        <f>'Equipment List'!E146</f>
        <v>2720.9373055522947</v>
      </c>
      <c r="F159" s="283">
        <f>'Equipment List'!F146</f>
        <v>11358.833513654818</v>
      </c>
    </row>
    <row r="160" spans="1:6">
      <c r="A160" s="249" t="str">
        <f>'Equipment List'!A147</f>
        <v>In-line Pasteurizer 3000 gal/hr</v>
      </c>
      <c r="B160" s="279">
        <f>'Equipment List'!B147</f>
        <v>1.0971396382019286E-2</v>
      </c>
      <c r="C160" s="280">
        <f>'Equipment List'!C147</f>
        <v>120000</v>
      </c>
      <c r="D160" s="281">
        <f>'Equipment List'!D147</f>
        <v>1.0971396382019286E-2</v>
      </c>
      <c r="E160" s="282">
        <f>'Equipment List'!E147</f>
        <v>2328.5418682899376</v>
      </c>
      <c r="F160" s="283">
        <f>'Equipment List'!F147</f>
        <v>9720.7382755595809</v>
      </c>
    </row>
    <row r="161" spans="1:6">
      <c r="A161" s="249" t="str">
        <f>'Equipment List'!A148</f>
        <v>In-line Pasteurizer 2500 gal/hr</v>
      </c>
      <c r="B161" s="279">
        <f>'Equipment List'!B148</f>
        <v>1.3165675658423142E-2</v>
      </c>
      <c r="C161" s="280">
        <f>'Equipment List'!C148</f>
        <v>120000</v>
      </c>
      <c r="D161" s="281">
        <f>'Equipment List'!D148</f>
        <v>1.3165675658423142E-2</v>
      </c>
      <c r="E161" s="282">
        <f>'Equipment List'!E148</f>
        <v>1936.1464310275803</v>
      </c>
      <c r="F161" s="283">
        <f>'Equipment List'!F148</f>
        <v>8082.6430374643433</v>
      </c>
    </row>
    <row r="162" spans="1:6">
      <c r="A162" s="249" t="str">
        <f>'Equipment List'!A149</f>
        <v>In-line Pasteurizer 2000 gal/hr</v>
      </c>
      <c r="B162" s="279">
        <f>'Equipment List'!B149</f>
        <v>1.6457094573028928E-2</v>
      </c>
      <c r="C162" s="280">
        <f>'Equipment List'!C149</f>
        <v>120000</v>
      </c>
      <c r="D162" s="281">
        <f>'Equipment List'!D149</f>
        <v>1.6457094573028928E-2</v>
      </c>
      <c r="E162" s="282">
        <f>'Equipment List'!E149</f>
        <v>1543.7509937652228</v>
      </c>
      <c r="F162" s="283">
        <f>'Equipment List'!F149</f>
        <v>6444.5477993691047</v>
      </c>
    </row>
    <row r="163" spans="1:6">
      <c r="A163" s="249" t="str">
        <f>'Equipment List'!A150</f>
        <v>In-line Pasteurizer 1500 gal/hr</v>
      </c>
      <c r="B163" s="279">
        <f>'Equipment List'!B150</f>
        <v>2.1942792764038571E-2</v>
      </c>
      <c r="C163" s="280">
        <f>'Equipment List'!C150</f>
        <v>120000</v>
      </c>
      <c r="D163" s="281">
        <f>'Equipment List'!D150</f>
        <v>2.1942792764038571E-2</v>
      </c>
      <c r="E163" s="282">
        <f>'Equipment List'!E150</f>
        <v>1151.3555565028655</v>
      </c>
      <c r="F163" s="283">
        <f>'Equipment List'!F150</f>
        <v>4806.4525612738671</v>
      </c>
    </row>
    <row r="164" spans="1:6">
      <c r="A164" s="249" t="str">
        <f>'Equipment List'!A151</f>
        <v>In-line Pasteurizer 1000 gal/hr</v>
      </c>
      <c r="B164" s="279">
        <f>'Equipment List'!B151</f>
        <v>3.2914189146057857E-2</v>
      </c>
      <c r="C164" s="280">
        <f>'Equipment List'!C151</f>
        <v>120000</v>
      </c>
      <c r="D164" s="281">
        <f>'Equipment List'!D151</f>
        <v>3.2914189146057857E-2</v>
      </c>
      <c r="E164" s="282">
        <f>'Equipment List'!E151</f>
        <v>758.96011924050822</v>
      </c>
      <c r="F164" s="283">
        <f>'Equipment List'!F151</f>
        <v>3168.3573231786299</v>
      </c>
    </row>
    <row r="165" spans="1:6">
      <c r="A165" s="249" t="str">
        <f>'Equipment List'!A152</f>
        <v>In-line Pasteurizer 500 gal/hr</v>
      </c>
      <c r="B165" s="279">
        <f>'Equipment List'!B152</f>
        <v>6.5828378292115713E-2</v>
      </c>
      <c r="C165" s="280">
        <f>'Equipment List'!C152</f>
        <v>120000</v>
      </c>
      <c r="D165" s="281">
        <f>'Equipment List'!D152</f>
        <v>6.5828378292115713E-2</v>
      </c>
      <c r="E165" s="282">
        <f>'Equipment List'!E152</f>
        <v>366.56468197815076</v>
      </c>
      <c r="F165" s="283">
        <f>'Equipment List'!F152</f>
        <v>1530.2620850833912</v>
      </c>
    </row>
    <row r="166" spans="1:6">
      <c r="A166" s="249" t="str">
        <f>'Equipment List'!A153</f>
        <v>In-line Pasteurizer 200 gal/hr</v>
      </c>
      <c r="B166" s="279">
        <f>'Equipment List'!B153</f>
        <v>0.16457094573028927</v>
      </c>
      <c r="C166" s="280">
        <f>'Equipment List'!C153</f>
        <v>120000</v>
      </c>
      <c r="D166" s="281">
        <f>'Equipment List'!D153</f>
        <v>0.16457094573028927</v>
      </c>
      <c r="E166" s="282">
        <f>'Equipment List'!E153</f>
        <v>131.12741962073633</v>
      </c>
      <c r="F166" s="283">
        <f>'Equipment List'!F153</f>
        <v>547.40494222624852</v>
      </c>
    </row>
    <row r="167" spans="1:6">
      <c r="A167" s="249" t="str">
        <f>'Equipment List'!A154</f>
        <v>In-line Pasteurizer 100 gal/hr</v>
      </c>
      <c r="B167" s="279">
        <f>'Equipment List'!B154</f>
        <v>0.32914189146057854</v>
      </c>
      <c r="C167" s="280">
        <f>'Equipment List'!C154</f>
        <v>120000</v>
      </c>
      <c r="D167" s="281">
        <f>'Equipment List'!D154</f>
        <v>0.32914189146057854</v>
      </c>
      <c r="E167" s="282">
        <f>'Equipment List'!E154</f>
        <v>52.648332168264851</v>
      </c>
      <c r="F167" s="283">
        <f>'Equipment List'!F154</f>
        <v>219.7858946072009</v>
      </c>
    </row>
    <row r="168" spans="1:6">
      <c r="A168" s="249" t="str">
        <f>'Equipment List'!A155</f>
        <v>Quoted In-Line Pasteurizer</v>
      </c>
      <c r="B168" s="279">
        <f>'Equipment List'!B155</f>
        <v>8760</v>
      </c>
      <c r="C168" s="280">
        <f>'Equipment List'!C155</f>
        <v>0</v>
      </c>
      <c r="D168" s="281" t="str">
        <f>'Equipment List'!D155</f>
        <v>Not enough data to calculate</v>
      </c>
      <c r="E168" s="282" t="str">
        <f>'Equipment List'!E155</f>
        <v>Not enough data to calculate</v>
      </c>
      <c r="F168" s="283" t="str">
        <f>'Equipment List'!F155</f>
        <v>Not enough data to calculate</v>
      </c>
    </row>
    <row r="169" spans="1:6">
      <c r="A169" s="251" t="str">
        <f>'Equipment List'!A156</f>
        <v>Average In-Line Pasteurizer</v>
      </c>
      <c r="B169" s="284" t="str">
        <f>'Equipment List'!B156</f>
        <v>Not enough data to calculate</v>
      </c>
      <c r="C169" s="285">
        <f>'Equipment List'!C156</f>
        <v>0</v>
      </c>
      <c r="D169" s="286" t="str">
        <f>'Equipment List'!D156</f>
        <v>Not enough data to calculate</v>
      </c>
      <c r="E169" s="287" t="str">
        <f>'Equipment List'!E156</f>
        <v>Not enough data to calculate</v>
      </c>
      <c r="F169" s="288" t="str">
        <f>'Equipment List'!F156</f>
        <v>Not enough data to calculate</v>
      </c>
    </row>
    <row r="171" spans="1:6">
      <c r="A171" s="600" t="str">
        <f>'Equipment List'!A159</f>
        <v>Wash Station</v>
      </c>
      <c r="B171" s="601"/>
      <c r="C171" s="601"/>
      <c r="D171" s="601"/>
      <c r="E171" s="601"/>
      <c r="F171" s="602"/>
    </row>
    <row r="172" spans="1:6">
      <c r="A172" s="179"/>
      <c r="B172" s="296" t="s">
        <v>300</v>
      </c>
      <c r="C172" s="297" t="s">
        <v>281</v>
      </c>
      <c r="D172" s="298" t="s">
        <v>267</v>
      </c>
      <c r="E172" s="299" t="s">
        <v>301</v>
      </c>
      <c r="F172" s="300" t="s">
        <v>302</v>
      </c>
    </row>
    <row r="173" spans="1:6">
      <c r="A173" s="249" t="str">
        <f>'Equipment List'!A161</f>
        <v>Quoted Wash Station</v>
      </c>
      <c r="B173" s="279" t="str">
        <f>'Equipment List'!B161</f>
        <v>Not enough data to calculate</v>
      </c>
      <c r="C173" s="280">
        <f>'Equipment List'!C161</f>
        <v>0</v>
      </c>
      <c r="D173" s="281" t="str">
        <f>'Equipment List'!D161</f>
        <v>Not enough data to calculate</v>
      </c>
      <c r="E173" s="282" t="str">
        <f>'Equipment List'!E161</f>
        <v>Not enough data to calculate</v>
      </c>
      <c r="F173" s="283" t="str">
        <f>'Equipment List'!F161</f>
        <v>Not enough data to calculate</v>
      </c>
    </row>
    <row r="174" spans="1:6">
      <c r="A174" s="251" t="str">
        <f>'Equipment List'!A162</f>
        <v>Average Wash Station</v>
      </c>
      <c r="B174" s="284" t="str">
        <f>'Equipment List'!B162</f>
        <v>Not enough data to calculate</v>
      </c>
      <c r="C174" s="285">
        <f>'Equipment List'!C162</f>
        <v>13880</v>
      </c>
      <c r="D174" s="286" t="str">
        <f>'Equipment List'!D162</f>
        <v>Not enough data to calculate</v>
      </c>
      <c r="E174" s="287" t="str">
        <f>'Equipment List'!E162</f>
        <v>Not enough data to calculate</v>
      </c>
      <c r="F174" s="288" t="str">
        <f>'Equipment List'!F162</f>
        <v>Not enough data to calculate</v>
      </c>
    </row>
  </sheetData>
  <mergeCells count="18">
    <mergeCell ref="A27:F27"/>
    <mergeCell ref="A33:F33"/>
    <mergeCell ref="A39:F39"/>
    <mergeCell ref="A45:F45"/>
    <mergeCell ref="A81:F81"/>
    <mergeCell ref="A1:F2"/>
    <mergeCell ref="A171:F171"/>
    <mergeCell ref="A3:F3"/>
    <mergeCell ref="A9:F9"/>
    <mergeCell ref="A15:F15"/>
    <mergeCell ref="A21:F21"/>
    <mergeCell ref="A60:F60"/>
    <mergeCell ref="A75:F75"/>
    <mergeCell ref="A119:F119"/>
    <mergeCell ref="A136:F136"/>
    <mergeCell ref="A157:F157"/>
    <mergeCell ref="A87:F87"/>
    <mergeCell ref="A93:F93"/>
  </mergeCells>
  <pageMargins left="0.7" right="0.7" top="0.75" bottom="0.75" header="0.3" footer="0.3"/>
  <pageSetup scale="69" fitToHeight="0" orientation="landscape" r:id="rId1"/>
  <headerFooter>
    <oddHeader>&amp;L&amp;G&amp;CValue-Added Dairy Processing 
Decision Making Tool:  Cheese&amp;R&amp;G</oddHead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E3BBD5-7E80-44F8-8673-624B8606B17E}">
  <sheetPr codeName="Sheet4">
    <tabColor rgb="FFFF0000"/>
    <pageSetUpPr fitToPage="1"/>
  </sheetPr>
  <dimension ref="A1:AD165"/>
  <sheetViews>
    <sheetView topLeftCell="A69" zoomScale="115" zoomScaleNormal="115" workbookViewId="0">
      <selection activeCell="A87" sqref="A87"/>
    </sheetView>
  </sheetViews>
  <sheetFormatPr defaultRowHeight="14.45"/>
  <cols>
    <col min="1" max="1" width="74.7109375" bestFit="1" customWidth="1"/>
    <col min="2" max="2" width="15.85546875" bestFit="1" customWidth="1"/>
    <col min="3" max="3" width="12.28515625" bestFit="1" customWidth="1"/>
    <col min="4" max="4" width="22.5703125" customWidth="1"/>
    <col min="5" max="5" width="15.140625" bestFit="1" customWidth="1"/>
    <col min="6" max="6" width="16.42578125" customWidth="1"/>
    <col min="7" max="7" width="18.140625" bestFit="1" customWidth="1"/>
    <col min="8" max="8" width="24.5703125" customWidth="1"/>
    <col min="9" max="9" width="18.7109375" bestFit="1" customWidth="1"/>
    <col min="10" max="10" width="12.85546875" bestFit="1" customWidth="1"/>
    <col min="11" max="11" width="41.28515625" bestFit="1" customWidth="1"/>
    <col min="12" max="12" width="10.28515625" bestFit="1" customWidth="1"/>
    <col min="13" max="13" width="57.5703125" bestFit="1" customWidth="1"/>
    <col min="14" max="14" width="8.28515625" bestFit="1" customWidth="1"/>
    <col min="15" max="15" width="59.5703125" bestFit="1" customWidth="1"/>
    <col min="16" max="16" width="28.28515625" bestFit="1" customWidth="1"/>
    <col min="17" max="17" width="12.85546875" bestFit="1" customWidth="1"/>
    <col min="18" max="18" width="6" bestFit="1" customWidth="1"/>
    <col min="19" max="19" width="31.5703125" customWidth="1"/>
    <col min="20" max="20" width="61.7109375" bestFit="1" customWidth="1"/>
    <col min="21" max="21" width="26" customWidth="1"/>
    <col min="22" max="22" width="23.28515625" customWidth="1"/>
    <col min="23" max="23" width="39.85546875" bestFit="1" customWidth="1"/>
    <col min="30" max="30" width="3" bestFit="1" customWidth="1"/>
  </cols>
  <sheetData>
    <row r="1" spans="1:30">
      <c r="A1" s="10" t="s">
        <v>308</v>
      </c>
      <c r="B1" s="14"/>
      <c r="K1" t="s">
        <v>81</v>
      </c>
      <c r="AD1">
        <v>1</v>
      </c>
    </row>
    <row r="2" spans="1:30">
      <c r="A2" s="15" t="s">
        <v>309</v>
      </c>
      <c r="B2" s="11">
        <f>Inputs!B5</f>
        <v>263</v>
      </c>
      <c r="F2" s="4" t="s">
        <v>310</v>
      </c>
      <c r="G2" s="4"/>
      <c r="H2" s="4"/>
      <c r="I2" s="4"/>
      <c r="J2" s="4"/>
      <c r="K2" t="s">
        <v>311</v>
      </c>
      <c r="L2" s="4"/>
      <c r="M2" s="4"/>
      <c r="N2" s="4"/>
      <c r="AD2">
        <v>2</v>
      </c>
    </row>
    <row r="3" spans="1:30">
      <c r="A3" s="15" t="s">
        <v>312</v>
      </c>
      <c r="B3" s="11">
        <f>Inputs!B6</f>
        <v>63</v>
      </c>
      <c r="AD3">
        <v>3</v>
      </c>
    </row>
    <row r="4" spans="1:30">
      <c r="A4" s="15" t="s">
        <v>208</v>
      </c>
      <c r="B4" s="19">
        <f>Inputs!B7</f>
        <v>4.0500000000000001E-2</v>
      </c>
      <c r="F4" s="105" t="s">
        <v>313</v>
      </c>
      <c r="AD4">
        <v>4</v>
      </c>
    </row>
    <row r="5" spans="1:30">
      <c r="A5" s="15" t="s">
        <v>31</v>
      </c>
      <c r="B5" s="19">
        <f>Inputs!B8</f>
        <v>3.7999999999999999E-2</v>
      </c>
      <c r="AD5">
        <v>5</v>
      </c>
    </row>
    <row r="6" spans="1:30">
      <c r="A6" s="15" t="s">
        <v>314</v>
      </c>
      <c r="B6" s="11">
        <f>Inputs!B9</f>
        <v>12</v>
      </c>
      <c r="AD6">
        <v>6</v>
      </c>
    </row>
    <row r="7" spans="1:30">
      <c r="A7" s="16" t="s">
        <v>33</v>
      </c>
      <c r="B7" s="20">
        <f>Inputs!B10</f>
        <v>0.49</v>
      </c>
      <c r="AD7">
        <v>7</v>
      </c>
    </row>
    <row r="8" spans="1:30">
      <c r="A8" s="22"/>
      <c r="B8" s="22"/>
      <c r="AD8">
        <v>8</v>
      </c>
    </row>
    <row r="9" spans="1:30">
      <c r="A9" s="22"/>
      <c r="B9" s="22"/>
      <c r="AD9">
        <v>9</v>
      </c>
    </row>
    <row r="10" spans="1:30">
      <c r="A10" s="10" t="s">
        <v>315</v>
      </c>
      <c r="B10" s="14"/>
      <c r="D10" t="s">
        <v>316</v>
      </c>
      <c r="E10" t="s">
        <v>317</v>
      </c>
      <c r="AD10">
        <v>10</v>
      </c>
    </row>
    <row r="11" spans="1:30">
      <c r="A11" s="15" t="s">
        <v>318</v>
      </c>
      <c r="B11" s="18">
        <f>((((B3*305)*(B2*B7))/365.25)*(B6*30.5))</f>
        <v>2481321.7256673514</v>
      </c>
      <c r="C11" t="s">
        <v>319</v>
      </c>
      <c r="D11" s="28">
        <f>(((B3*305)*(B2))/365.25)*(B6*30.5)</f>
        <v>5063921.8891170435</v>
      </c>
      <c r="E11" s="1">
        <f>D11/8.6</f>
        <v>588828.12664151669</v>
      </c>
      <c r="AD11">
        <v>11</v>
      </c>
    </row>
    <row r="12" spans="1:30">
      <c r="A12" s="15" t="s">
        <v>320</v>
      </c>
      <c r="B12" s="13">
        <f>B11/365.25</f>
        <v>6793.4886397463415</v>
      </c>
      <c r="C12" t="s">
        <v>321</v>
      </c>
      <c r="D12" s="28">
        <f>(((B3*305)*(B2*B7))/365.25)*(B6*30.5)</f>
        <v>2481321.7256673514</v>
      </c>
      <c r="E12" s="1">
        <f>D12/8.6</f>
        <v>288525.7820543432</v>
      </c>
      <c r="AD12">
        <v>12</v>
      </c>
    </row>
    <row r="13" spans="1:30">
      <c r="A13" s="39" t="s">
        <v>322</v>
      </c>
      <c r="B13" s="40">
        <f>B11/8.6</f>
        <v>288525.7820543432</v>
      </c>
      <c r="C13" s="1"/>
      <c r="T13" t="s">
        <v>323</v>
      </c>
    </row>
    <row r="14" spans="1:30">
      <c r="A14" s="39" t="s">
        <v>324</v>
      </c>
      <c r="B14" s="40">
        <f>B12/8.6</f>
        <v>789.94053950538853</v>
      </c>
      <c r="C14" s="1"/>
      <c r="F14" s="29" t="s">
        <v>325</v>
      </c>
      <c r="T14" t="s">
        <v>326</v>
      </c>
    </row>
    <row r="15" spans="1:30">
      <c r="A15" s="15" t="s">
        <v>327</v>
      </c>
      <c r="B15" s="13">
        <f>B16*365.25</f>
        <v>1125315.975359343</v>
      </c>
      <c r="T15" t="s">
        <v>328</v>
      </c>
    </row>
    <row r="16" spans="1:30">
      <c r="A16" s="15" t="s">
        <v>329</v>
      </c>
      <c r="B16" s="13">
        <f>B12/2.205</f>
        <v>3080.9472289099053</v>
      </c>
    </row>
    <row r="17" spans="1:12">
      <c r="A17" s="39" t="s">
        <v>330</v>
      </c>
      <c r="B17" s="40"/>
    </row>
    <row r="18" spans="1:12">
      <c r="A18" s="41" t="s">
        <v>331</v>
      </c>
      <c r="B18" s="42"/>
    </row>
    <row r="19" spans="1:12">
      <c r="A19" s="7" t="s">
        <v>332</v>
      </c>
      <c r="B19" s="23"/>
    </row>
    <row r="20" spans="1:12" ht="15" thickBot="1">
      <c r="A20" s="4" t="s">
        <v>333</v>
      </c>
      <c r="B20" s="1"/>
      <c r="D20" t="s">
        <v>334</v>
      </c>
    </row>
    <row r="21" spans="1:12" ht="43.15">
      <c r="A21" s="106" t="s">
        <v>335</v>
      </c>
      <c r="B21" s="128" t="s">
        <v>336</v>
      </c>
      <c r="C21" s="128" t="s">
        <v>337</v>
      </c>
      <c r="D21" s="128" t="s">
        <v>338</v>
      </c>
      <c r="E21" s="128" t="s">
        <v>339</v>
      </c>
      <c r="F21" s="128" t="s">
        <v>267</v>
      </c>
      <c r="G21" s="128" t="s">
        <v>340</v>
      </c>
      <c r="H21" s="128" t="s">
        <v>341</v>
      </c>
      <c r="I21" s="128" t="s">
        <v>342</v>
      </c>
      <c r="J21" s="128" t="s">
        <v>343</v>
      </c>
      <c r="K21" s="130" t="s">
        <v>344</v>
      </c>
      <c r="L21" s="9" t="s">
        <v>345</v>
      </c>
    </row>
    <row r="22" spans="1:12">
      <c r="A22" s="30" t="s">
        <v>346</v>
      </c>
      <c r="B22" s="115">
        <v>4</v>
      </c>
      <c r="C22" s="1">
        <f>$B$14/B22</f>
        <v>197.48513487634713</v>
      </c>
      <c r="D22" s="6">
        <f t="shared" ref="D22:D37" si="0">(C22*2)/24</f>
        <v>16.457094573028929</v>
      </c>
      <c r="E22" s="116">
        <f>IF(AND(A22=Inputs!$B$80,Inputs!$C$80&lt;&gt;""),Inputs!$C$80,5500)</f>
        <v>5500</v>
      </c>
      <c r="F22" s="80">
        <f>($B$14/(B22*(24/2)))</f>
        <v>16.457094573028929</v>
      </c>
      <c r="G22" s="80">
        <f>1-F22</f>
        <v>-15.457094573028929</v>
      </c>
      <c r="H22" s="6">
        <f>((12*B22)*(G22))*8.6</f>
        <v>-6380.6886397463422</v>
      </c>
      <c r="I22" s="6">
        <f t="shared" ref="I22:I37" si="1">H22/$B$2</f>
        <v>-24.261173535157194</v>
      </c>
      <c r="J22" s="6">
        <f t="shared" ref="J22:J37" si="2">H22/$B$3</f>
        <v>-101.28077205946575</v>
      </c>
      <c r="K22" s="117">
        <f t="shared" ref="K22:K37" si="3">D22</f>
        <v>16.457094573028929</v>
      </c>
      <c r="L22" s="12">
        <f>B22*12*8.6</f>
        <v>412.79999999999995</v>
      </c>
    </row>
    <row r="23" spans="1:12">
      <c r="A23" s="30" t="s">
        <v>347</v>
      </c>
      <c r="B23" s="115">
        <v>15</v>
      </c>
      <c r="C23" s="1">
        <f t="shared" ref="C23:C37" si="4">$B$14/B23</f>
        <v>52.662702633692568</v>
      </c>
      <c r="D23" s="6">
        <f t="shared" si="0"/>
        <v>4.388558552807714</v>
      </c>
      <c r="E23" s="116">
        <f>IF(AND(A23=Inputs!$B$80,Inputs!$C$80&lt;&gt;""),Inputs!$C$80,7000)</f>
        <v>7000</v>
      </c>
      <c r="F23" s="80">
        <f t="shared" ref="F23:F37" si="5">($B$14/(B23*(24/2)))</f>
        <v>4.388558552807714</v>
      </c>
      <c r="G23" s="80">
        <f t="shared" ref="G23:G37" si="6">1-F23</f>
        <v>-3.388558552807714</v>
      </c>
      <c r="H23" s="6">
        <f t="shared" ref="H23:H37" si="7">((12*B23)*(G23))*8.6</f>
        <v>-5245.4886397463415</v>
      </c>
      <c r="I23" s="6">
        <f t="shared" si="1"/>
        <v>-19.944823725271259</v>
      </c>
      <c r="J23" s="6">
        <f t="shared" si="2"/>
        <v>-83.261724440418121</v>
      </c>
      <c r="K23" s="117">
        <f t="shared" si="3"/>
        <v>4.388558552807714</v>
      </c>
      <c r="L23" s="12">
        <f t="shared" ref="L23:L37" si="8">B23*12*8.6</f>
        <v>1548</v>
      </c>
    </row>
    <row r="24" spans="1:12">
      <c r="A24" s="30" t="s">
        <v>348</v>
      </c>
      <c r="B24" s="115">
        <v>30</v>
      </c>
      <c r="C24" s="1">
        <f t="shared" si="4"/>
        <v>26.331351316846284</v>
      </c>
      <c r="D24" s="6">
        <f t="shared" si="0"/>
        <v>2.194279276403857</v>
      </c>
      <c r="E24" s="116">
        <f>IF(AND(A24=Inputs!$B$80,Inputs!$C$80&lt;&gt;""),Inputs!$C$80,10000)</f>
        <v>10000</v>
      </c>
      <c r="F24" s="80">
        <f t="shared" si="5"/>
        <v>2.194279276403857</v>
      </c>
      <c r="G24" s="80">
        <f t="shared" si="6"/>
        <v>-1.194279276403857</v>
      </c>
      <c r="H24" s="6">
        <f t="shared" si="7"/>
        <v>-3697.4886397463411</v>
      </c>
      <c r="I24" s="6">
        <f t="shared" si="1"/>
        <v>-14.058892166335898</v>
      </c>
      <c r="J24" s="6">
        <f t="shared" si="2"/>
        <v>-58.690295868989537</v>
      </c>
      <c r="K24" s="117">
        <f t="shared" si="3"/>
        <v>2.194279276403857</v>
      </c>
      <c r="L24" s="12">
        <f t="shared" si="8"/>
        <v>3096</v>
      </c>
    </row>
    <row r="25" spans="1:12">
      <c r="A25" s="30" t="s">
        <v>349</v>
      </c>
      <c r="B25" s="115">
        <v>45</v>
      </c>
      <c r="C25" s="1">
        <f t="shared" si="4"/>
        <v>17.554234211230856</v>
      </c>
      <c r="D25" s="6">
        <f t="shared" si="0"/>
        <v>1.4628528509359047</v>
      </c>
      <c r="E25" s="116">
        <f>IF(AND(A25=Inputs!$B$80,Inputs!$C$80&lt;&gt;""),Inputs!$C$80,13000)</f>
        <v>13000</v>
      </c>
      <c r="F25" s="80">
        <f t="shared" si="5"/>
        <v>1.4628528509359047</v>
      </c>
      <c r="G25" s="80">
        <f t="shared" si="6"/>
        <v>-0.46285285093590467</v>
      </c>
      <c r="H25" s="6">
        <f t="shared" si="7"/>
        <v>-2149.4886397463411</v>
      </c>
      <c r="I25" s="6">
        <f t="shared" si="1"/>
        <v>-8.1729606074005368</v>
      </c>
      <c r="J25" s="6">
        <f t="shared" si="2"/>
        <v>-34.118867297560968</v>
      </c>
      <c r="K25" s="117">
        <f t="shared" si="3"/>
        <v>1.4628528509359047</v>
      </c>
      <c r="L25" s="12">
        <f t="shared" si="8"/>
        <v>4644</v>
      </c>
    </row>
    <row r="26" spans="1:12">
      <c r="A26" s="30" t="s">
        <v>350</v>
      </c>
      <c r="B26" s="115">
        <v>60</v>
      </c>
      <c r="C26" s="1">
        <f t="shared" si="4"/>
        <v>13.165675658423142</v>
      </c>
      <c r="D26" s="6">
        <f t="shared" si="0"/>
        <v>1.0971396382019285</v>
      </c>
      <c r="E26" s="116">
        <f>IF(AND(A26=Inputs!$B$80,Inputs!$C$80&lt;&gt;""),Inputs!$C$80,16000)</f>
        <v>16000</v>
      </c>
      <c r="F26" s="80">
        <f t="shared" si="5"/>
        <v>1.0971396382019285</v>
      </c>
      <c r="G26" s="80">
        <f t="shared" si="6"/>
        <v>-9.7139638201928502E-2</v>
      </c>
      <c r="H26" s="6">
        <f t="shared" si="7"/>
        <v>-601.48863974634128</v>
      </c>
      <c r="I26" s="6">
        <f t="shared" si="1"/>
        <v>-2.2870290484651759</v>
      </c>
      <c r="J26" s="6">
        <f t="shared" si="2"/>
        <v>-9.5474387261324019</v>
      </c>
      <c r="K26" s="117">
        <f t="shared" si="3"/>
        <v>1.0971396382019285</v>
      </c>
      <c r="L26" s="12">
        <f t="shared" si="8"/>
        <v>6192</v>
      </c>
    </row>
    <row r="27" spans="1:12">
      <c r="A27" s="30" t="s">
        <v>351</v>
      </c>
      <c r="B27" s="115">
        <v>99</v>
      </c>
      <c r="C27" s="1">
        <f t="shared" si="4"/>
        <v>7.979197368741298</v>
      </c>
      <c r="D27" s="6">
        <f t="shared" si="0"/>
        <v>0.6649331140617748</v>
      </c>
      <c r="E27" s="116">
        <f>IF(AND(A27=Inputs!$B$80,Inputs!$C$80&lt;&gt;""),Inputs!$C$80,18000)</f>
        <v>18000</v>
      </c>
      <c r="F27" s="80">
        <f t="shared" si="5"/>
        <v>0.66493311406177491</v>
      </c>
      <c r="G27" s="80">
        <f t="shared" si="6"/>
        <v>0.33506688593822509</v>
      </c>
      <c r="H27" s="6">
        <f t="shared" si="7"/>
        <v>3423.3113602536582</v>
      </c>
      <c r="I27" s="6">
        <f t="shared" si="1"/>
        <v>13.016393004766762</v>
      </c>
      <c r="J27" s="6">
        <f t="shared" si="2"/>
        <v>54.338275559581874</v>
      </c>
      <c r="K27" s="117">
        <f t="shared" si="3"/>
        <v>0.6649331140617748</v>
      </c>
      <c r="L27" s="12">
        <f t="shared" si="8"/>
        <v>10216.799999999999</v>
      </c>
    </row>
    <row r="28" spans="1:12">
      <c r="A28" s="30" t="s">
        <v>352</v>
      </c>
      <c r="B28" s="115">
        <v>200</v>
      </c>
      <c r="C28" s="1">
        <f t="shared" si="4"/>
        <v>3.9497026975269427</v>
      </c>
      <c r="D28" s="6">
        <f t="shared" si="0"/>
        <v>0.32914189146057854</v>
      </c>
      <c r="E28" s="116">
        <f>IF(AND(A28=Inputs!$B$80,Inputs!$C$80&lt;&gt;""),Inputs!$C$80,18000)</f>
        <v>18000</v>
      </c>
      <c r="F28" s="80">
        <f t="shared" si="5"/>
        <v>0.32914189146057854</v>
      </c>
      <c r="G28" s="80">
        <f t="shared" si="6"/>
        <v>0.6708581085394214</v>
      </c>
      <c r="H28" s="6">
        <f t="shared" si="7"/>
        <v>13846.511360253657</v>
      </c>
      <c r="I28" s="6">
        <f t="shared" si="1"/>
        <v>52.648332168264851</v>
      </c>
      <c r="J28" s="6">
        <f t="shared" si="2"/>
        <v>219.7858946072009</v>
      </c>
      <c r="K28" s="117">
        <f t="shared" si="3"/>
        <v>0.32914189146057854</v>
      </c>
      <c r="L28" s="12">
        <f t="shared" si="8"/>
        <v>20640</v>
      </c>
    </row>
    <row r="29" spans="1:12">
      <c r="A29" s="30" t="s">
        <v>353</v>
      </c>
      <c r="B29" s="115">
        <v>300</v>
      </c>
      <c r="C29" s="1">
        <f t="shared" si="4"/>
        <v>2.6331351316846283</v>
      </c>
      <c r="D29" s="6">
        <f t="shared" si="0"/>
        <v>0.21942792764038568</v>
      </c>
      <c r="E29" s="116">
        <f>IF(AND(A29=Inputs!$B$80,Inputs!$C$80&lt;&gt;""),Inputs!$C$80,20000)</f>
        <v>20000</v>
      </c>
      <c r="F29" s="80">
        <f t="shared" si="5"/>
        <v>0.21942792764038571</v>
      </c>
      <c r="G29" s="80">
        <f t="shared" si="6"/>
        <v>0.78057207235961434</v>
      </c>
      <c r="H29" s="6">
        <f t="shared" si="7"/>
        <v>24166.511360253662</v>
      </c>
      <c r="I29" s="6">
        <f t="shared" si="1"/>
        <v>91.88787589450061</v>
      </c>
      <c r="J29" s="6">
        <f t="shared" si="2"/>
        <v>383.59541841672478</v>
      </c>
      <c r="K29" s="117">
        <f t="shared" si="3"/>
        <v>0.21942792764038568</v>
      </c>
      <c r="L29" s="12">
        <f t="shared" si="8"/>
        <v>30960</v>
      </c>
    </row>
    <row r="30" spans="1:12">
      <c r="A30" s="30" t="s">
        <v>354</v>
      </c>
      <c r="B30" s="115">
        <v>400</v>
      </c>
      <c r="C30" s="1">
        <f t="shared" si="4"/>
        <v>1.9748513487634713</v>
      </c>
      <c r="D30" s="6">
        <f t="shared" si="0"/>
        <v>0.16457094573028927</v>
      </c>
      <c r="E30" s="116">
        <f>IF(AND(A30=Inputs!$B$80,Inputs!$C$80&lt;&gt;""),Inputs!$C$80,24000)</f>
        <v>24000</v>
      </c>
      <c r="F30" s="80">
        <f t="shared" si="5"/>
        <v>0.16457094573028927</v>
      </c>
      <c r="G30" s="80">
        <f t="shared" si="6"/>
        <v>0.8354290542697107</v>
      </c>
      <c r="H30" s="6">
        <f t="shared" si="7"/>
        <v>34486.511360253658</v>
      </c>
      <c r="I30" s="6">
        <f t="shared" si="1"/>
        <v>131.12741962073633</v>
      </c>
      <c r="J30" s="6">
        <f t="shared" si="2"/>
        <v>547.40494222624852</v>
      </c>
      <c r="K30" s="117">
        <f t="shared" si="3"/>
        <v>0.16457094573028927</v>
      </c>
      <c r="L30" s="12">
        <f t="shared" si="8"/>
        <v>41280</v>
      </c>
    </row>
    <row r="31" spans="1:12">
      <c r="A31" s="30" t="s">
        <v>355</v>
      </c>
      <c r="B31" s="115">
        <v>500</v>
      </c>
      <c r="C31" s="1">
        <f t="shared" si="4"/>
        <v>1.5798810790107771</v>
      </c>
      <c r="D31" s="6">
        <f t="shared" si="0"/>
        <v>0.13165675658423143</v>
      </c>
      <c r="E31" s="116">
        <f>IF(AND(A31=Inputs!$B$80,Inputs!$C$80&lt;&gt;""),Inputs!$C$80,26500)</f>
        <v>26500</v>
      </c>
      <c r="F31" s="80">
        <f t="shared" si="5"/>
        <v>0.13165675658423143</v>
      </c>
      <c r="G31" s="80">
        <f t="shared" si="6"/>
        <v>0.86834324341576852</v>
      </c>
      <c r="H31" s="6">
        <f t="shared" si="7"/>
        <v>44806.511360253651</v>
      </c>
      <c r="I31" s="6">
        <f t="shared" si="1"/>
        <v>170.36696334697206</v>
      </c>
      <c r="J31" s="6">
        <f t="shared" si="2"/>
        <v>711.21446603577226</v>
      </c>
      <c r="K31" s="117">
        <f t="shared" si="3"/>
        <v>0.13165675658423143</v>
      </c>
      <c r="L31" s="12">
        <f t="shared" si="8"/>
        <v>51600</v>
      </c>
    </row>
    <row r="32" spans="1:12">
      <c r="A32" s="30" t="s">
        <v>356</v>
      </c>
      <c r="B32" s="115">
        <v>600</v>
      </c>
      <c r="C32" s="1">
        <f t="shared" si="4"/>
        <v>1.3165675658423142</v>
      </c>
      <c r="D32" s="6">
        <f t="shared" si="0"/>
        <v>0.10971396382019284</v>
      </c>
      <c r="E32" s="116">
        <f>IF(AND(A32=Inputs!$B$80,Inputs!$C$80&lt;&gt;""),Inputs!$C$80,28500)</f>
        <v>28500</v>
      </c>
      <c r="F32" s="80">
        <f t="shared" si="5"/>
        <v>0.10971396382019286</v>
      </c>
      <c r="G32" s="80">
        <f t="shared" si="6"/>
        <v>0.89028603617980717</v>
      </c>
      <c r="H32" s="6">
        <f t="shared" si="7"/>
        <v>55126.511360253658</v>
      </c>
      <c r="I32" s="6">
        <f t="shared" si="1"/>
        <v>209.60650707320784</v>
      </c>
      <c r="J32" s="6">
        <f t="shared" si="2"/>
        <v>875.02398984529611</v>
      </c>
      <c r="K32" s="117">
        <f t="shared" si="3"/>
        <v>0.10971396382019284</v>
      </c>
      <c r="L32" s="12">
        <f t="shared" si="8"/>
        <v>61920</v>
      </c>
    </row>
    <row r="33" spans="1:19">
      <c r="A33" s="30" t="s">
        <v>357</v>
      </c>
      <c r="B33" s="115">
        <v>800</v>
      </c>
      <c r="C33" s="1">
        <f t="shared" si="4"/>
        <v>0.98742567438173567</v>
      </c>
      <c r="D33" s="6">
        <f t="shared" si="0"/>
        <v>8.2285472865144635E-2</v>
      </c>
      <c r="E33" s="116">
        <f>IF(AND(A33=Inputs!$B$80,Inputs!$C$80&lt;&gt;""),Inputs!$C$80,32000)</f>
        <v>32000</v>
      </c>
      <c r="F33" s="80">
        <f t="shared" si="5"/>
        <v>8.2285472865144635E-2</v>
      </c>
      <c r="G33" s="80">
        <f t="shared" si="6"/>
        <v>0.91771452713485535</v>
      </c>
      <c r="H33" s="6">
        <f t="shared" si="7"/>
        <v>75766.511360253644</v>
      </c>
      <c r="I33" s="6">
        <f t="shared" si="1"/>
        <v>288.08559452567926</v>
      </c>
      <c r="J33" s="6">
        <f t="shared" si="2"/>
        <v>1202.6430374643435</v>
      </c>
      <c r="K33" s="117">
        <f t="shared" si="3"/>
        <v>8.2285472865144635E-2</v>
      </c>
      <c r="L33" s="12">
        <f t="shared" si="8"/>
        <v>82560</v>
      </c>
    </row>
    <row r="34" spans="1:19">
      <c r="A34" s="30" t="s">
        <v>358</v>
      </c>
      <c r="B34" s="115">
        <v>1000</v>
      </c>
      <c r="C34" s="1">
        <f t="shared" si="4"/>
        <v>0.78994053950538856</v>
      </c>
      <c r="D34" s="6">
        <f t="shared" si="0"/>
        <v>6.5828378292115713E-2</v>
      </c>
      <c r="E34" s="116">
        <f>IF(AND(A34=Inputs!$B$80,Inputs!$C$80&lt;&gt;""),Inputs!$C$80,39500)</f>
        <v>39500</v>
      </c>
      <c r="F34" s="80">
        <f t="shared" si="5"/>
        <v>6.5828378292115713E-2</v>
      </c>
      <c r="G34" s="80">
        <f t="shared" si="6"/>
        <v>0.93417162170788426</v>
      </c>
      <c r="H34" s="6">
        <f t="shared" si="7"/>
        <v>96406.511360253644</v>
      </c>
      <c r="I34" s="6">
        <f t="shared" si="1"/>
        <v>366.56468197815076</v>
      </c>
      <c r="J34" s="6">
        <f t="shared" si="2"/>
        <v>1530.2620850833912</v>
      </c>
      <c r="K34" s="117">
        <f t="shared" si="3"/>
        <v>6.5828378292115713E-2</v>
      </c>
      <c r="L34" s="12">
        <f t="shared" si="8"/>
        <v>103200</v>
      </c>
      <c r="R34" s="1"/>
      <c r="S34" s="1"/>
    </row>
    <row r="35" spans="1:19">
      <c r="A35" s="30" t="s">
        <v>359</v>
      </c>
      <c r="B35" s="115">
        <v>1200</v>
      </c>
      <c r="C35" s="1">
        <f t="shared" si="4"/>
        <v>0.65828378292115708</v>
      </c>
      <c r="D35" s="6">
        <f t="shared" si="0"/>
        <v>5.4856981910096421E-2</v>
      </c>
      <c r="E35" s="116">
        <f>IF(AND(A35=Inputs!$B$80,Inputs!$C$80&lt;&gt;""),Inputs!$C$80,45500)</f>
        <v>45500</v>
      </c>
      <c r="F35" s="80">
        <f t="shared" si="5"/>
        <v>5.4856981910096428E-2</v>
      </c>
      <c r="G35" s="80">
        <f t="shared" si="6"/>
        <v>0.94514301808990353</v>
      </c>
      <c r="H35" s="6">
        <f t="shared" si="7"/>
        <v>117046.51136025364</v>
      </c>
      <c r="I35" s="6">
        <f t="shared" si="1"/>
        <v>445.04376943062221</v>
      </c>
      <c r="J35" s="6">
        <f t="shared" si="2"/>
        <v>1857.8811327024389</v>
      </c>
      <c r="K35" s="117">
        <f t="shared" si="3"/>
        <v>5.4856981910096421E-2</v>
      </c>
      <c r="L35" s="12">
        <f t="shared" si="8"/>
        <v>123840</v>
      </c>
      <c r="O35" s="11" t="s">
        <v>360</v>
      </c>
      <c r="Q35" s="1"/>
    </row>
    <row r="36" spans="1:19">
      <c r="A36" s="30" t="s">
        <v>361</v>
      </c>
      <c r="B36" s="115">
        <v>1500</v>
      </c>
      <c r="C36" s="1">
        <f t="shared" si="4"/>
        <v>0.52662702633692571</v>
      </c>
      <c r="D36" s="6">
        <f t="shared" si="0"/>
        <v>4.3885585528077142E-2</v>
      </c>
      <c r="E36" s="116">
        <f>IF(AND(A36=Inputs!$B$80,Inputs!$C$80&lt;&gt;""),Inputs!$C$80,49500)</f>
        <v>49500</v>
      </c>
      <c r="F36" s="80">
        <f t="shared" si="5"/>
        <v>4.3885585528077142E-2</v>
      </c>
      <c r="G36" s="80">
        <f t="shared" si="6"/>
        <v>0.95611441447192291</v>
      </c>
      <c r="H36" s="6">
        <f t="shared" si="7"/>
        <v>148006.51136025367</v>
      </c>
      <c r="I36" s="6">
        <f t="shared" si="1"/>
        <v>562.76240060932957</v>
      </c>
      <c r="J36" s="6">
        <f t="shared" si="2"/>
        <v>2349.3097041310107</v>
      </c>
      <c r="K36" s="117">
        <f t="shared" si="3"/>
        <v>4.3885585528077142E-2</v>
      </c>
      <c r="L36" s="12">
        <f t="shared" si="8"/>
        <v>154800</v>
      </c>
    </row>
    <row r="37" spans="1:19">
      <c r="A37" s="30" t="s">
        <v>362</v>
      </c>
      <c r="B37" s="115">
        <v>2000</v>
      </c>
      <c r="C37" s="1">
        <f t="shared" si="4"/>
        <v>0.39497026975269428</v>
      </c>
      <c r="D37" s="6">
        <f t="shared" si="0"/>
        <v>3.2914189146057857E-2</v>
      </c>
      <c r="E37" s="116">
        <f>IF(AND(A37=Inputs!$B$80,Inputs!$C$80&lt;&gt;""),Inputs!$C$80,56000)</f>
        <v>56000</v>
      </c>
      <c r="F37" s="80">
        <f t="shared" si="5"/>
        <v>3.2914189146057857E-2</v>
      </c>
      <c r="G37" s="80">
        <f t="shared" si="6"/>
        <v>0.96708581085394218</v>
      </c>
      <c r="H37" s="6">
        <f t="shared" si="7"/>
        <v>199606.51136025367</v>
      </c>
      <c r="I37" s="6">
        <f t="shared" si="1"/>
        <v>758.96011924050822</v>
      </c>
      <c r="J37" s="6">
        <f t="shared" si="2"/>
        <v>3168.3573231786299</v>
      </c>
      <c r="K37" s="117">
        <f t="shared" si="3"/>
        <v>3.2914189146057857E-2</v>
      </c>
      <c r="L37" s="12">
        <f t="shared" si="8"/>
        <v>206400</v>
      </c>
      <c r="Q37" s="1"/>
    </row>
    <row r="38" spans="1:19">
      <c r="A38" s="45" t="s">
        <v>363</v>
      </c>
      <c r="B38">
        <f>IF(AND(Inputs!B80="Quoted Vat Pasteurizer",Inputs!D80&lt;&gt;""),Inputs!D80,0)</f>
        <v>0</v>
      </c>
      <c r="C38" s="1">
        <f>IF(B38=0,210240,$B$14/B38)</f>
        <v>210240</v>
      </c>
      <c r="D38" s="6">
        <f>(C38*2)/24</f>
        <v>17520</v>
      </c>
      <c r="E38" s="116">
        <f>IF(A38=Inputs!$B$80,Inputs!$C$80,0)</f>
        <v>0</v>
      </c>
      <c r="F38" s="80">
        <f>IF(B38=0,0,($B$14/(B38*(24/2))))</f>
        <v>0</v>
      </c>
      <c r="G38" s="80">
        <f>IF((F38)=0,0,(1-F38))</f>
        <v>0</v>
      </c>
      <c r="H38" s="6">
        <f>((12*B38)*(G38))*8.6</f>
        <v>0</v>
      </c>
      <c r="I38" s="6">
        <f>H38/$B$2</f>
        <v>0</v>
      </c>
      <c r="J38" s="6">
        <f>H38/$B$3</f>
        <v>0</v>
      </c>
      <c r="K38" s="117">
        <f>D38</f>
        <v>17520</v>
      </c>
      <c r="L38" s="12"/>
      <c r="Q38" s="1"/>
    </row>
    <row r="39" spans="1:19">
      <c r="A39" s="30" t="s">
        <v>364</v>
      </c>
      <c r="B39" s="115"/>
      <c r="C39" s="1"/>
      <c r="D39" s="6"/>
      <c r="E39" s="24">
        <v>27381.439999999999</v>
      </c>
      <c r="F39" s="80"/>
      <c r="G39" s="80"/>
      <c r="H39" s="6"/>
      <c r="I39" s="6"/>
      <c r="J39" s="6"/>
      <c r="K39" s="117"/>
      <c r="L39" s="12">
        <f>B38*12*8.6</f>
        <v>0</v>
      </c>
    </row>
    <row r="40" spans="1:19">
      <c r="A40" s="45" t="s">
        <v>117</v>
      </c>
      <c r="C40" s="1"/>
      <c r="D40" s="6"/>
      <c r="E40" s="3"/>
      <c r="F40" s="118"/>
      <c r="G40" s="118"/>
      <c r="H40" s="6"/>
      <c r="I40" s="6"/>
      <c r="J40" s="6"/>
      <c r="K40" s="119"/>
      <c r="L40" s="12"/>
    </row>
    <row r="41" spans="1:19" ht="15" thickBot="1">
      <c r="A41" s="47"/>
      <c r="B41" s="32"/>
      <c r="C41" s="131"/>
      <c r="D41" s="126"/>
      <c r="E41" s="32"/>
      <c r="F41" s="125"/>
      <c r="G41" s="125"/>
      <c r="H41" s="126"/>
      <c r="I41" s="126"/>
      <c r="J41" s="126"/>
      <c r="K41" s="132"/>
      <c r="L41" s="12"/>
    </row>
    <row r="42" spans="1:19" ht="43.15">
      <c r="A42" s="106" t="s">
        <v>365</v>
      </c>
      <c r="B42" s="128"/>
      <c r="C42" s="128" t="s">
        <v>337</v>
      </c>
      <c r="D42" s="128" t="s">
        <v>338</v>
      </c>
      <c r="E42" s="128" t="s">
        <v>281</v>
      </c>
      <c r="F42" s="128" t="s">
        <v>267</v>
      </c>
      <c r="G42" s="128" t="s">
        <v>340</v>
      </c>
      <c r="H42" s="128" t="s">
        <v>341</v>
      </c>
      <c r="I42" s="128" t="s">
        <v>342</v>
      </c>
      <c r="J42" s="128" t="s">
        <v>343</v>
      </c>
      <c r="K42" s="130" t="s">
        <v>344</v>
      </c>
      <c r="L42" s="38"/>
      <c r="M42" s="36"/>
    </row>
    <row r="43" spans="1:19" ht="15">
      <c r="A43" s="31" t="s">
        <v>366</v>
      </c>
      <c r="B43" s="115">
        <v>100</v>
      </c>
      <c r="C43" s="1">
        <f t="shared" ref="C43:C51" si="9">$B$14/B43</f>
        <v>7.8994053950538854</v>
      </c>
      <c r="D43" s="1">
        <f t="shared" ref="D43:D52" si="10">C43/24</f>
        <v>0.32914189146057854</v>
      </c>
      <c r="E43" s="116">
        <f>IF(AND(A43=Inputs!$B$81,Inputs!$C$81&lt;&gt;""),Inputs!$C$81,120000)</f>
        <v>120000</v>
      </c>
      <c r="F43" s="80">
        <f>($B$14/(B43*(24)))</f>
        <v>0.32914189146057854</v>
      </c>
      <c r="G43" s="80">
        <f t="shared" ref="G43:G51" si="11">1-F43</f>
        <v>0.6708581085394214</v>
      </c>
      <c r="H43" s="6">
        <f t="shared" ref="H43:H52" si="12">((24*B43)*(G43))*8.6</f>
        <v>13846.511360253657</v>
      </c>
      <c r="I43" s="6">
        <f t="shared" ref="I43:I52" si="13">H43/$B$2</f>
        <v>52.648332168264851</v>
      </c>
      <c r="J43" s="6">
        <f t="shared" ref="J43:J52" si="14">H43/$B$3</f>
        <v>219.7858946072009</v>
      </c>
      <c r="K43" s="117">
        <f t="shared" ref="K43:K52" si="15">D43</f>
        <v>0.32914189146057854</v>
      </c>
      <c r="L43" s="12">
        <f t="shared" ref="L43:L52" si="16">B43*24*8.6</f>
        <v>20640</v>
      </c>
      <c r="M43" s="37"/>
    </row>
    <row r="44" spans="1:19">
      <c r="A44" s="31" t="s">
        <v>367</v>
      </c>
      <c r="B44" s="115">
        <v>200</v>
      </c>
      <c r="C44" s="1">
        <f t="shared" si="9"/>
        <v>3.9497026975269427</v>
      </c>
      <c r="D44" s="1">
        <f t="shared" si="10"/>
        <v>0.16457094573028927</v>
      </c>
      <c r="E44" s="116">
        <f>IF(AND(A44=Inputs!$B$81,Inputs!$C$81&lt;&gt;""),Inputs!$C$81,120000)</f>
        <v>120000</v>
      </c>
      <c r="F44" s="80">
        <f t="shared" ref="F44:F51" si="17">($B$14/(B44*(24)))</f>
        <v>0.16457094573028927</v>
      </c>
      <c r="G44" s="80">
        <f t="shared" si="11"/>
        <v>0.8354290542697107</v>
      </c>
      <c r="H44" s="6">
        <f t="shared" si="12"/>
        <v>34486.511360253658</v>
      </c>
      <c r="I44" s="6">
        <f t="shared" si="13"/>
        <v>131.12741962073633</v>
      </c>
      <c r="J44" s="6">
        <f t="shared" si="14"/>
        <v>547.40494222624852</v>
      </c>
      <c r="K44" s="117">
        <f t="shared" si="15"/>
        <v>0.16457094573028927</v>
      </c>
      <c r="L44" s="12">
        <f t="shared" si="16"/>
        <v>41280</v>
      </c>
    </row>
    <row r="45" spans="1:19">
      <c r="A45" s="31" t="s">
        <v>368</v>
      </c>
      <c r="B45" s="115">
        <v>500</v>
      </c>
      <c r="C45" s="1">
        <f t="shared" si="9"/>
        <v>1.5798810790107771</v>
      </c>
      <c r="D45" s="1">
        <f t="shared" si="10"/>
        <v>6.5828378292115713E-2</v>
      </c>
      <c r="E45" s="116">
        <f>IF(AND(A45=Inputs!$B$81,Inputs!$C$81&lt;&gt;""),Inputs!$C$81,120000)</f>
        <v>120000</v>
      </c>
      <c r="F45" s="80">
        <f t="shared" si="17"/>
        <v>6.5828378292115713E-2</v>
      </c>
      <c r="G45" s="80">
        <f t="shared" si="11"/>
        <v>0.93417162170788426</v>
      </c>
      <c r="H45" s="6">
        <f t="shared" si="12"/>
        <v>96406.511360253644</v>
      </c>
      <c r="I45" s="6">
        <f t="shared" si="13"/>
        <v>366.56468197815076</v>
      </c>
      <c r="J45" s="6">
        <f t="shared" si="14"/>
        <v>1530.2620850833912</v>
      </c>
      <c r="K45" s="117">
        <f t="shared" si="15"/>
        <v>6.5828378292115713E-2</v>
      </c>
      <c r="L45" s="12">
        <f t="shared" si="16"/>
        <v>103200</v>
      </c>
    </row>
    <row r="46" spans="1:19">
      <c r="A46" s="31" t="s">
        <v>369</v>
      </c>
      <c r="B46" s="115">
        <v>1000</v>
      </c>
      <c r="C46" s="1">
        <f t="shared" si="9"/>
        <v>0.78994053950538856</v>
      </c>
      <c r="D46" s="1">
        <f t="shared" si="10"/>
        <v>3.2914189146057857E-2</v>
      </c>
      <c r="E46" s="116">
        <f>IF(AND(A46=Inputs!$B$81,Inputs!$C$81&lt;&gt;""),Inputs!$C$81,120000)</f>
        <v>120000</v>
      </c>
      <c r="F46" s="80">
        <f t="shared" si="17"/>
        <v>3.2914189146057857E-2</v>
      </c>
      <c r="G46" s="80">
        <f t="shared" si="11"/>
        <v>0.96708581085394218</v>
      </c>
      <c r="H46" s="6">
        <f t="shared" si="12"/>
        <v>199606.51136025367</v>
      </c>
      <c r="I46" s="6">
        <f t="shared" si="13"/>
        <v>758.96011924050822</v>
      </c>
      <c r="J46" s="6">
        <f t="shared" si="14"/>
        <v>3168.3573231786299</v>
      </c>
      <c r="K46" s="117">
        <f t="shared" si="15"/>
        <v>3.2914189146057857E-2</v>
      </c>
      <c r="L46" s="12">
        <f t="shared" si="16"/>
        <v>206400</v>
      </c>
    </row>
    <row r="47" spans="1:19">
      <c r="A47" s="31" t="s">
        <v>370</v>
      </c>
      <c r="B47" s="115">
        <v>1500</v>
      </c>
      <c r="C47" s="1">
        <f t="shared" si="9"/>
        <v>0.52662702633692571</v>
      </c>
      <c r="D47" s="1">
        <f t="shared" si="10"/>
        <v>2.1942792764038571E-2</v>
      </c>
      <c r="E47" s="116">
        <f>IF(AND(A47=Inputs!$B$81,Inputs!$C$81&lt;&gt;""),Inputs!$C$81,120000)</f>
        <v>120000</v>
      </c>
      <c r="F47" s="80">
        <f t="shared" si="17"/>
        <v>2.1942792764038571E-2</v>
      </c>
      <c r="G47" s="80">
        <f t="shared" si="11"/>
        <v>0.97805720723596146</v>
      </c>
      <c r="H47" s="6">
        <f t="shared" si="12"/>
        <v>302806.51136025361</v>
      </c>
      <c r="I47" s="6">
        <f t="shared" si="13"/>
        <v>1151.3555565028655</v>
      </c>
      <c r="J47" s="6">
        <f t="shared" si="14"/>
        <v>4806.4525612738671</v>
      </c>
      <c r="K47" s="117">
        <f t="shared" si="15"/>
        <v>2.1942792764038571E-2</v>
      </c>
      <c r="L47" s="12">
        <f t="shared" si="16"/>
        <v>309600</v>
      </c>
    </row>
    <row r="48" spans="1:19">
      <c r="A48" s="31" t="s">
        <v>371</v>
      </c>
      <c r="B48" s="115">
        <v>2000</v>
      </c>
      <c r="C48" s="1">
        <f t="shared" si="9"/>
        <v>0.39497026975269428</v>
      </c>
      <c r="D48" s="1">
        <f t="shared" si="10"/>
        <v>1.6457094573028928E-2</v>
      </c>
      <c r="E48" s="116">
        <f>IF(AND(A48=Inputs!$B$81,Inputs!$C$81&lt;&gt;""),Inputs!$C$81,120000)</f>
        <v>120000</v>
      </c>
      <c r="F48" s="80">
        <f t="shared" si="17"/>
        <v>1.6457094573028928E-2</v>
      </c>
      <c r="G48" s="80">
        <f t="shared" si="11"/>
        <v>0.98354290542697109</v>
      </c>
      <c r="H48" s="6">
        <f t="shared" si="12"/>
        <v>406006.51136025361</v>
      </c>
      <c r="I48" s="6">
        <f t="shared" si="13"/>
        <v>1543.7509937652228</v>
      </c>
      <c r="J48" s="6">
        <f t="shared" si="14"/>
        <v>6444.5477993691047</v>
      </c>
      <c r="K48" s="117">
        <f t="shared" si="15"/>
        <v>1.6457094573028928E-2</v>
      </c>
      <c r="L48" s="12">
        <f t="shared" si="16"/>
        <v>412800</v>
      </c>
    </row>
    <row r="49" spans="1:16">
      <c r="A49" s="31" t="s">
        <v>372</v>
      </c>
      <c r="B49" s="115">
        <v>2500</v>
      </c>
      <c r="C49" s="1">
        <f t="shared" si="9"/>
        <v>0.3159762158021554</v>
      </c>
      <c r="D49" s="1">
        <f t="shared" si="10"/>
        <v>1.3165675658423142E-2</v>
      </c>
      <c r="E49" s="116">
        <f>IF(AND(A49=Inputs!$B$81,Inputs!$C$81&lt;&gt;""),Inputs!$C$81,120000)</f>
        <v>120000</v>
      </c>
      <c r="F49" s="80">
        <f t="shared" si="17"/>
        <v>1.3165675658423142E-2</v>
      </c>
      <c r="G49" s="80">
        <f t="shared" si="11"/>
        <v>0.98683432434157681</v>
      </c>
      <c r="H49" s="6">
        <f t="shared" si="12"/>
        <v>509206.51136025361</v>
      </c>
      <c r="I49" s="6">
        <f t="shared" si="13"/>
        <v>1936.1464310275803</v>
      </c>
      <c r="J49" s="6">
        <f t="shared" si="14"/>
        <v>8082.6430374643433</v>
      </c>
      <c r="K49" s="117">
        <f t="shared" si="15"/>
        <v>1.3165675658423142E-2</v>
      </c>
      <c r="L49" s="12">
        <f t="shared" si="16"/>
        <v>516000</v>
      </c>
    </row>
    <row r="50" spans="1:16">
      <c r="A50" s="31" t="s">
        <v>373</v>
      </c>
      <c r="B50" s="115">
        <v>3000</v>
      </c>
      <c r="C50" s="1">
        <f t="shared" si="9"/>
        <v>0.26331351316846285</v>
      </c>
      <c r="D50" s="1">
        <f t="shared" si="10"/>
        <v>1.0971396382019286E-2</v>
      </c>
      <c r="E50" s="116">
        <f>IF(AND(A50=Inputs!$B$81,Inputs!$C$81&lt;&gt;""),Inputs!$C$81,120000)</f>
        <v>120000</v>
      </c>
      <c r="F50" s="80">
        <f t="shared" si="17"/>
        <v>1.0971396382019286E-2</v>
      </c>
      <c r="G50" s="80">
        <f t="shared" si="11"/>
        <v>0.98902860361798073</v>
      </c>
      <c r="H50" s="6">
        <f t="shared" si="12"/>
        <v>612406.51136025356</v>
      </c>
      <c r="I50" s="6">
        <f t="shared" si="13"/>
        <v>2328.5418682899376</v>
      </c>
      <c r="J50" s="6">
        <f t="shared" si="14"/>
        <v>9720.7382755595809</v>
      </c>
      <c r="K50" s="117">
        <f t="shared" si="15"/>
        <v>1.0971396382019286E-2</v>
      </c>
      <c r="L50" s="12">
        <f t="shared" si="16"/>
        <v>619200</v>
      </c>
    </row>
    <row r="51" spans="1:16">
      <c r="A51" s="31" t="s">
        <v>374</v>
      </c>
      <c r="B51" s="115">
        <v>3500</v>
      </c>
      <c r="C51" s="1">
        <f t="shared" si="9"/>
        <v>0.22569729700153959</v>
      </c>
      <c r="D51" s="1">
        <f t="shared" si="10"/>
        <v>9.404054041730817E-3</v>
      </c>
      <c r="E51" s="116">
        <f>IF(AND(A51=Inputs!$B$81,Inputs!$C$81&lt;&gt;""),Inputs!$C$81,120000)</f>
        <v>120000</v>
      </c>
      <c r="F51" s="80">
        <f t="shared" si="17"/>
        <v>9.4040540417308152E-3</v>
      </c>
      <c r="G51" s="80">
        <f t="shared" si="11"/>
        <v>0.99059594595826916</v>
      </c>
      <c r="H51" s="6">
        <f t="shared" si="12"/>
        <v>715606.51136025356</v>
      </c>
      <c r="I51" s="6">
        <f t="shared" si="13"/>
        <v>2720.9373055522947</v>
      </c>
      <c r="J51" s="6">
        <f t="shared" si="14"/>
        <v>11358.833513654818</v>
      </c>
      <c r="K51" s="117">
        <f t="shared" si="15"/>
        <v>9.404054041730817E-3</v>
      </c>
      <c r="L51" s="12">
        <f t="shared" si="16"/>
        <v>722400</v>
      </c>
      <c r="M51" t="s">
        <v>375</v>
      </c>
    </row>
    <row r="52" spans="1:16">
      <c r="A52" s="30" t="s">
        <v>376</v>
      </c>
      <c r="B52">
        <f>IF(AND(Inputs!B81="Quoted In-Line Pasteurizer",Inputs!D81&lt;&gt;""),Inputs!D81,0)</f>
        <v>0</v>
      </c>
      <c r="C52" s="1">
        <f>IF(B52=0,210240,$B$14/B52)</f>
        <v>210240</v>
      </c>
      <c r="D52" s="1">
        <f t="shared" si="10"/>
        <v>8760</v>
      </c>
      <c r="E52" s="116">
        <f>IF(A52=Inputs!$B$81,Inputs!$C$81,0)</f>
        <v>0</v>
      </c>
      <c r="F52" s="80">
        <f>IF(B52=0,0,($B$14/(B52*(24))))</f>
        <v>0</v>
      </c>
      <c r="G52" s="80">
        <f>IF((F52)=0,0,(1-F52))</f>
        <v>0</v>
      </c>
      <c r="H52" s="6">
        <f t="shared" si="12"/>
        <v>0</v>
      </c>
      <c r="I52" s="6">
        <f t="shared" si="13"/>
        <v>0</v>
      </c>
      <c r="J52" s="6">
        <f t="shared" si="14"/>
        <v>0</v>
      </c>
      <c r="K52" s="117">
        <f t="shared" si="15"/>
        <v>8760</v>
      </c>
      <c r="L52" s="12">
        <f t="shared" si="16"/>
        <v>0</v>
      </c>
      <c r="M52" s="3">
        <v>400000</v>
      </c>
      <c r="N52" s="3"/>
      <c r="O52" t="s">
        <v>377</v>
      </c>
    </row>
    <row r="53" spans="1:16">
      <c r="A53" s="30" t="s">
        <v>378</v>
      </c>
      <c r="C53" s="1"/>
      <c r="D53" s="1"/>
      <c r="E53" s="116">
        <v>0</v>
      </c>
      <c r="F53" s="80"/>
      <c r="G53" s="80"/>
      <c r="H53" s="6"/>
      <c r="I53" s="6"/>
      <c r="J53" s="6"/>
      <c r="K53" s="117"/>
      <c r="L53" s="12"/>
      <c r="M53" s="3"/>
      <c r="N53" s="3"/>
    </row>
    <row r="54" spans="1:16" ht="15" thickBot="1">
      <c r="A54" s="47" t="s">
        <v>117</v>
      </c>
      <c r="B54" s="32"/>
      <c r="C54" s="32"/>
      <c r="D54" s="32"/>
      <c r="E54" s="32"/>
      <c r="F54" s="32"/>
      <c r="G54" s="32"/>
      <c r="H54" s="32"/>
      <c r="I54" s="32"/>
      <c r="J54" s="32"/>
      <c r="K54" s="33"/>
      <c r="L54" s="12"/>
      <c r="M54">
        <v>800000</v>
      </c>
      <c r="O54" t="s">
        <v>379</v>
      </c>
    </row>
    <row r="55" spans="1:16" ht="15" thickBot="1">
      <c r="L55" s="12"/>
    </row>
    <row r="56" spans="1:16" ht="43.15">
      <c r="A56" s="107" t="s">
        <v>380</v>
      </c>
      <c r="B56" s="127"/>
      <c r="C56" s="128" t="s">
        <v>337</v>
      </c>
      <c r="D56" s="128" t="s">
        <v>338</v>
      </c>
      <c r="E56" s="127" t="s">
        <v>339</v>
      </c>
      <c r="F56" s="128" t="s">
        <v>267</v>
      </c>
      <c r="G56" s="128" t="s">
        <v>340</v>
      </c>
      <c r="H56" s="128" t="s">
        <v>341</v>
      </c>
      <c r="I56" s="128" t="s">
        <v>342</v>
      </c>
      <c r="J56" s="128" t="s">
        <v>343</v>
      </c>
      <c r="K56" s="129" t="s">
        <v>344</v>
      </c>
      <c r="L56" s="12"/>
    </row>
    <row r="57" spans="1:16">
      <c r="A57" s="30" t="s">
        <v>381</v>
      </c>
      <c r="B57">
        <v>100</v>
      </c>
      <c r="C57" s="1">
        <f>$B$14/B57</f>
        <v>7.8994053950538854</v>
      </c>
      <c r="D57" s="6">
        <f t="shared" ref="D57" si="18">(C57*2)/24</f>
        <v>0.65828378292115708</v>
      </c>
      <c r="E57" s="116">
        <f>IF(AND(A57=Inputs!$B$78,Inputs!$C$78&lt;&gt;""),Inputs!$C$78,21950)</f>
        <v>21950</v>
      </c>
      <c r="F57" s="80">
        <f>($B$14/(B57*(24/2)))</f>
        <v>0.65828378292115708</v>
      </c>
      <c r="G57" s="80">
        <f>1-F57</f>
        <v>0.34171621707884292</v>
      </c>
      <c r="H57" s="6">
        <f>((24*B57)*(G57))*8.6</f>
        <v>7053.0227205073179</v>
      </c>
      <c r="I57" s="6">
        <f>H57/$B$2</f>
        <v>26.817576884058244</v>
      </c>
      <c r="J57" s="6">
        <f>H57/$B$3</f>
        <v>111.95274159535425</v>
      </c>
      <c r="K57" s="120">
        <f>D57</f>
        <v>0.65828378292115708</v>
      </c>
      <c r="L57" s="12">
        <f t="shared" ref="L57:L68" si="19">B57*24*8.6</f>
        <v>20640</v>
      </c>
    </row>
    <row r="58" spans="1:16">
      <c r="A58" s="30" t="s">
        <v>382</v>
      </c>
      <c r="B58">
        <v>200</v>
      </c>
      <c r="C58" s="1">
        <f t="shared" ref="C58:C67" si="20">$B$14/B58</f>
        <v>3.9497026975269427</v>
      </c>
      <c r="D58" s="6">
        <f t="shared" ref="D58:D67" si="21">(C58*2)/24</f>
        <v>0.32914189146057854</v>
      </c>
      <c r="E58" s="116">
        <f>IF(AND(A58=Inputs!$B$78,Inputs!$C$78&lt;&gt;""),Inputs!$C$78,23950)</f>
        <v>23950</v>
      </c>
      <c r="F58" s="80">
        <f t="shared" ref="F58:F67" si="22">($B$14/(B58*(24/2)))</f>
        <v>0.32914189146057854</v>
      </c>
      <c r="G58" s="80">
        <f t="shared" ref="G58:G67" si="23">1-F58</f>
        <v>0.6708581085394214</v>
      </c>
      <c r="H58" s="6">
        <f t="shared" ref="H58:H68" si="24">((24*B58)*(G58))*8.6</f>
        <v>27693.022720507313</v>
      </c>
      <c r="I58" s="6">
        <f t="shared" ref="I58:I68" si="25">H58/$B$2</f>
        <v>105.2966643365297</v>
      </c>
      <c r="J58" s="6">
        <f t="shared" ref="J58:J68" si="26">H58/$B$3</f>
        <v>439.5717892144018</v>
      </c>
      <c r="K58" s="120">
        <f t="shared" ref="K58:K68" si="27">D58</f>
        <v>0.32914189146057854</v>
      </c>
      <c r="L58" s="12">
        <f t="shared" si="19"/>
        <v>41280</v>
      </c>
    </row>
    <row r="59" spans="1:16">
      <c r="A59" s="30" t="s">
        <v>383</v>
      </c>
      <c r="B59">
        <v>300</v>
      </c>
      <c r="C59" s="1">
        <f t="shared" si="20"/>
        <v>2.6331351316846283</v>
      </c>
      <c r="D59" s="6">
        <f t="shared" si="21"/>
        <v>0.21942792764038568</v>
      </c>
      <c r="E59" s="116">
        <f>IF(AND(A59=Inputs!$B$78,Inputs!$C$78&lt;&gt;""),Inputs!$C$78,33250)</f>
        <v>33250</v>
      </c>
      <c r="F59" s="80">
        <f t="shared" si="22"/>
        <v>0.21942792764038571</v>
      </c>
      <c r="G59" s="80">
        <f t="shared" si="23"/>
        <v>0.78057207235961434</v>
      </c>
      <c r="H59" s="6">
        <f t="shared" si="24"/>
        <v>48333.022720507324</v>
      </c>
      <c r="I59" s="6">
        <f t="shared" si="25"/>
        <v>183.77575178900122</v>
      </c>
      <c r="J59" s="6">
        <f t="shared" si="26"/>
        <v>767.19083683344957</v>
      </c>
      <c r="K59" s="120">
        <f t="shared" si="27"/>
        <v>0.21942792764038568</v>
      </c>
      <c r="L59" s="12">
        <f t="shared" si="19"/>
        <v>61920</v>
      </c>
      <c r="P59" t="s">
        <v>384</v>
      </c>
    </row>
    <row r="60" spans="1:16">
      <c r="A60" s="30" t="s">
        <v>385</v>
      </c>
      <c r="B60">
        <v>400</v>
      </c>
      <c r="C60" s="1">
        <f t="shared" si="20"/>
        <v>1.9748513487634713</v>
      </c>
      <c r="D60" s="6">
        <f t="shared" si="21"/>
        <v>0.16457094573028927</v>
      </c>
      <c r="E60" s="116">
        <f>IF(AND(A60=Inputs!$B$78,Inputs!$C$78&lt;&gt;""),Inputs!$C$78,34950)</f>
        <v>34950</v>
      </c>
      <c r="F60" s="80">
        <f t="shared" si="22"/>
        <v>0.16457094573028927</v>
      </c>
      <c r="G60" s="80">
        <f t="shared" si="23"/>
        <v>0.8354290542697107</v>
      </c>
      <c r="H60" s="6">
        <f t="shared" si="24"/>
        <v>68973.022720507317</v>
      </c>
      <c r="I60" s="6">
        <f t="shared" si="25"/>
        <v>262.25483924147267</v>
      </c>
      <c r="J60" s="6">
        <f t="shared" si="26"/>
        <v>1094.809884452497</v>
      </c>
      <c r="K60" s="120">
        <f t="shared" si="27"/>
        <v>0.16457094573028927</v>
      </c>
      <c r="L60" s="12">
        <f t="shared" si="19"/>
        <v>82560</v>
      </c>
    </row>
    <row r="61" spans="1:16">
      <c r="A61" s="30" t="s">
        <v>386</v>
      </c>
      <c r="B61">
        <v>500</v>
      </c>
      <c r="C61" s="1">
        <f t="shared" si="20"/>
        <v>1.5798810790107771</v>
      </c>
      <c r="D61" s="6">
        <f t="shared" si="21"/>
        <v>0.13165675658423143</v>
      </c>
      <c r="E61" s="116">
        <f>IF(AND(A61=Inputs!$B$78,Inputs!$C$78&lt;&gt;""),Inputs!$C$78,36950)</f>
        <v>36950</v>
      </c>
      <c r="F61" s="80">
        <f t="shared" si="22"/>
        <v>0.13165675658423143</v>
      </c>
      <c r="G61" s="80">
        <f t="shared" si="23"/>
        <v>0.86834324341576852</v>
      </c>
      <c r="H61" s="6">
        <f t="shared" si="24"/>
        <v>89613.022720507302</v>
      </c>
      <c r="I61" s="6">
        <f t="shared" si="25"/>
        <v>340.73392669394411</v>
      </c>
      <c r="J61" s="6">
        <f t="shared" si="26"/>
        <v>1422.4289320715445</v>
      </c>
      <c r="K61" s="120">
        <f t="shared" si="27"/>
        <v>0.13165675658423143</v>
      </c>
      <c r="L61" s="12">
        <f t="shared" si="19"/>
        <v>103200</v>
      </c>
    </row>
    <row r="62" spans="1:16">
      <c r="A62" s="30" t="s">
        <v>387</v>
      </c>
      <c r="B62">
        <v>600</v>
      </c>
      <c r="C62" s="1">
        <f t="shared" si="20"/>
        <v>1.3165675658423142</v>
      </c>
      <c r="D62" s="6">
        <f t="shared" si="21"/>
        <v>0.10971396382019284</v>
      </c>
      <c r="E62" s="116">
        <f>IF(AND(A62=Inputs!$B$78,Inputs!$C$78&lt;&gt;""),Inputs!$C$78,38950)</f>
        <v>38950</v>
      </c>
      <c r="F62" s="80">
        <f t="shared" si="22"/>
        <v>0.10971396382019286</v>
      </c>
      <c r="G62" s="80">
        <f t="shared" si="23"/>
        <v>0.89028603617980717</v>
      </c>
      <c r="H62" s="6">
        <f t="shared" si="24"/>
        <v>110253.02272050732</v>
      </c>
      <c r="I62" s="6">
        <f t="shared" si="25"/>
        <v>419.21301414641567</v>
      </c>
      <c r="J62" s="6">
        <f t="shared" si="26"/>
        <v>1750.0479796905922</v>
      </c>
      <c r="K62" s="120">
        <f t="shared" si="27"/>
        <v>0.10971396382019284</v>
      </c>
      <c r="L62" s="12">
        <f t="shared" si="19"/>
        <v>123840</v>
      </c>
    </row>
    <row r="63" spans="1:16">
      <c r="A63" s="30" t="s">
        <v>388</v>
      </c>
      <c r="B63">
        <v>800</v>
      </c>
      <c r="C63" s="1">
        <f t="shared" si="20"/>
        <v>0.98742567438173567</v>
      </c>
      <c r="D63" s="6">
        <f t="shared" si="21"/>
        <v>8.2285472865144635E-2</v>
      </c>
      <c r="E63" s="116">
        <f>IF(AND(A63=Inputs!$B$78,Inputs!$C$78&lt;&gt;""),Inputs!$C$78,41950)</f>
        <v>41950</v>
      </c>
      <c r="F63" s="80">
        <f t="shared" si="22"/>
        <v>8.2285472865144635E-2</v>
      </c>
      <c r="G63" s="80">
        <f t="shared" si="23"/>
        <v>0.91771452713485535</v>
      </c>
      <c r="H63" s="6">
        <f t="shared" si="24"/>
        <v>151533.02272050729</v>
      </c>
      <c r="I63" s="6">
        <f t="shared" si="25"/>
        <v>576.17118905135851</v>
      </c>
      <c r="J63" s="6">
        <f t="shared" si="26"/>
        <v>2405.286074928687</v>
      </c>
      <c r="K63" s="120">
        <f t="shared" si="27"/>
        <v>8.2285472865144635E-2</v>
      </c>
      <c r="L63" s="12">
        <f t="shared" si="19"/>
        <v>165120</v>
      </c>
    </row>
    <row r="64" spans="1:16">
      <c r="A64" s="30" t="s">
        <v>389</v>
      </c>
      <c r="B64">
        <v>1000</v>
      </c>
      <c r="C64" s="1">
        <f t="shared" si="20"/>
        <v>0.78994053950538856</v>
      </c>
      <c r="D64" s="6">
        <f t="shared" si="21"/>
        <v>6.5828378292115713E-2</v>
      </c>
      <c r="E64" s="116">
        <f>IF(AND(A64=Inputs!$B$78,Inputs!$C$78&lt;&gt;""),Inputs!$C$78,55450)</f>
        <v>55450</v>
      </c>
      <c r="F64" s="80">
        <f t="shared" si="22"/>
        <v>6.5828378292115713E-2</v>
      </c>
      <c r="G64" s="80">
        <f t="shared" si="23"/>
        <v>0.93417162170788426</v>
      </c>
      <c r="H64" s="6">
        <f t="shared" si="24"/>
        <v>192813.02272050729</v>
      </c>
      <c r="I64" s="6">
        <f t="shared" si="25"/>
        <v>733.12936395630152</v>
      </c>
      <c r="J64" s="6">
        <f t="shared" si="26"/>
        <v>3060.5241701667824</v>
      </c>
      <c r="K64" s="120">
        <f t="shared" si="27"/>
        <v>6.5828378292115713E-2</v>
      </c>
      <c r="L64" s="12">
        <f t="shared" si="19"/>
        <v>206400</v>
      </c>
    </row>
    <row r="65" spans="1:12">
      <c r="A65" s="30" t="s">
        <v>390</v>
      </c>
      <c r="B65">
        <v>1200</v>
      </c>
      <c r="C65" s="1">
        <f t="shared" si="20"/>
        <v>0.65828378292115708</v>
      </c>
      <c r="D65" s="6">
        <f t="shared" si="21"/>
        <v>5.4856981910096421E-2</v>
      </c>
      <c r="E65" s="116">
        <f>IF(AND(A65=Inputs!$B$78,Inputs!$C$78&lt;&gt;""),Inputs!$C$78,59450)</f>
        <v>59450</v>
      </c>
      <c r="F65" s="80">
        <f t="shared" si="22"/>
        <v>5.4856981910096428E-2</v>
      </c>
      <c r="G65" s="80">
        <f t="shared" si="23"/>
        <v>0.94514301808990353</v>
      </c>
      <c r="H65" s="6">
        <f t="shared" si="24"/>
        <v>234093.02272050729</v>
      </c>
      <c r="I65" s="6">
        <f t="shared" si="25"/>
        <v>890.08753886124441</v>
      </c>
      <c r="J65" s="6">
        <f t="shared" si="26"/>
        <v>3715.7622654048778</v>
      </c>
      <c r="K65" s="120">
        <f t="shared" si="27"/>
        <v>5.4856981910096421E-2</v>
      </c>
      <c r="L65" s="12">
        <f t="shared" si="19"/>
        <v>247680</v>
      </c>
    </row>
    <row r="66" spans="1:12">
      <c r="A66" s="30" t="s">
        <v>391</v>
      </c>
      <c r="B66">
        <v>1500</v>
      </c>
      <c r="C66" s="1">
        <f t="shared" si="20"/>
        <v>0.52662702633692571</v>
      </c>
      <c r="D66" s="6">
        <f t="shared" si="21"/>
        <v>4.3885585528077142E-2</v>
      </c>
      <c r="E66" s="116">
        <f>IF(AND(A66=Inputs!$B$78,Inputs!$C$78&lt;&gt;""),Inputs!$C$78,64450)</f>
        <v>64450</v>
      </c>
      <c r="F66" s="80">
        <f t="shared" si="22"/>
        <v>4.3885585528077142E-2</v>
      </c>
      <c r="G66" s="80">
        <f t="shared" si="23"/>
        <v>0.95611441447192291</v>
      </c>
      <c r="H66" s="6">
        <f t="shared" si="24"/>
        <v>296013.02272050735</v>
      </c>
      <c r="I66" s="6">
        <f t="shared" si="25"/>
        <v>1125.5248012186591</v>
      </c>
      <c r="J66" s="6">
        <f t="shared" si="26"/>
        <v>4698.6194082620214</v>
      </c>
      <c r="K66" s="120">
        <f t="shared" si="27"/>
        <v>4.3885585528077142E-2</v>
      </c>
      <c r="L66" s="12">
        <f t="shared" si="19"/>
        <v>309600</v>
      </c>
    </row>
    <row r="67" spans="1:12">
      <c r="A67" s="30" t="s">
        <v>392</v>
      </c>
      <c r="B67">
        <v>2000</v>
      </c>
      <c r="C67" s="1">
        <f t="shared" si="20"/>
        <v>0.39497026975269428</v>
      </c>
      <c r="D67" s="6">
        <f t="shared" si="21"/>
        <v>3.2914189146057857E-2</v>
      </c>
      <c r="E67" s="116">
        <f>IF(AND(A67=Inputs!$B$78,Inputs!$C$78&lt;&gt;""),Inputs!$C$78,69450)</f>
        <v>69450</v>
      </c>
      <c r="F67" s="80">
        <f t="shared" si="22"/>
        <v>3.2914189146057857E-2</v>
      </c>
      <c r="G67" s="80">
        <f t="shared" si="23"/>
        <v>0.96708581085394218</v>
      </c>
      <c r="H67" s="6">
        <f t="shared" si="24"/>
        <v>399213.02272050735</v>
      </c>
      <c r="I67" s="6">
        <f t="shared" si="25"/>
        <v>1517.9202384810164</v>
      </c>
      <c r="J67" s="6">
        <f t="shared" si="26"/>
        <v>6336.7146463572599</v>
      </c>
      <c r="K67" s="120">
        <f t="shared" si="27"/>
        <v>3.2914189146057857E-2</v>
      </c>
      <c r="L67" s="12">
        <f t="shared" si="19"/>
        <v>412800</v>
      </c>
    </row>
    <row r="68" spans="1:12">
      <c r="A68" s="45" t="s">
        <v>393</v>
      </c>
      <c r="B68" s="12">
        <f>IF(Inputs!$B$78="Quoted Open Cheese Vat",CONVERT(Inputs!$D$78,"l","gal"),0)</f>
        <v>0</v>
      </c>
      <c r="C68" s="1">
        <f>IF(B68=0,210240,$B$14/B68)</f>
        <v>210240</v>
      </c>
      <c r="D68" s="1">
        <f t="shared" ref="D68" si="28">C68/24</f>
        <v>8760</v>
      </c>
      <c r="E68" s="1">
        <f>IF(A68=Inputs!$B$78,Inputs!$C$78,0)</f>
        <v>0</v>
      </c>
      <c r="F68" s="80">
        <f>IF(B68=0,0,($B$14/(B68*(24/2))))</f>
        <v>0</v>
      </c>
      <c r="G68" s="80">
        <f>IF((F68)=0,0,(1-F68))</f>
        <v>0</v>
      </c>
      <c r="H68" s="6">
        <f t="shared" si="24"/>
        <v>0</v>
      </c>
      <c r="I68" s="6">
        <f t="shared" si="25"/>
        <v>0</v>
      </c>
      <c r="J68" s="6">
        <f t="shared" si="26"/>
        <v>0</v>
      </c>
      <c r="K68" s="120">
        <f t="shared" si="27"/>
        <v>8760</v>
      </c>
      <c r="L68" s="12">
        <f t="shared" si="19"/>
        <v>0</v>
      </c>
    </row>
    <row r="69" spans="1:12">
      <c r="A69" s="45" t="s">
        <v>133</v>
      </c>
      <c r="B69" s="12"/>
      <c r="C69" s="1"/>
      <c r="D69" s="1"/>
      <c r="E69" s="116">
        <v>40299.25</v>
      </c>
      <c r="F69" s="80"/>
      <c r="G69" s="80"/>
      <c r="H69" s="6"/>
      <c r="I69" s="6"/>
      <c r="J69" s="6"/>
      <c r="K69" s="120"/>
      <c r="L69" s="12"/>
    </row>
    <row r="70" spans="1:12">
      <c r="A70" s="45" t="s">
        <v>117</v>
      </c>
      <c r="B70" s="12"/>
      <c r="F70" s="118"/>
      <c r="G70" s="118"/>
      <c r="H70" s="6"/>
      <c r="I70" s="6"/>
      <c r="J70" s="6"/>
      <c r="K70" s="46"/>
      <c r="L70" s="12"/>
    </row>
    <row r="71" spans="1:12" ht="15" thickBot="1">
      <c r="A71" s="47"/>
      <c r="B71" s="48"/>
      <c r="C71" s="32"/>
      <c r="D71" s="32"/>
      <c r="E71" s="32"/>
      <c r="F71" s="125"/>
      <c r="G71" s="125"/>
      <c r="H71" s="126"/>
      <c r="I71" s="126"/>
      <c r="J71" s="126"/>
      <c r="K71" s="33"/>
      <c r="L71" s="12"/>
    </row>
    <row r="72" spans="1:12" ht="43.15">
      <c r="A72" s="107" t="s">
        <v>394</v>
      </c>
      <c r="B72" s="127"/>
      <c r="C72" s="128" t="s">
        <v>337</v>
      </c>
      <c r="D72" s="128" t="s">
        <v>338</v>
      </c>
      <c r="E72" s="127" t="s">
        <v>339</v>
      </c>
      <c r="F72" s="128" t="s">
        <v>267</v>
      </c>
      <c r="G72" s="128" t="s">
        <v>340</v>
      </c>
      <c r="H72" s="128" t="s">
        <v>341</v>
      </c>
      <c r="I72" s="128" t="s">
        <v>342</v>
      </c>
      <c r="J72" s="128" t="s">
        <v>343</v>
      </c>
      <c r="K72" s="129" t="s">
        <v>344</v>
      </c>
      <c r="L72" s="12"/>
    </row>
    <row r="73" spans="1:12">
      <c r="A73" s="35" t="s">
        <v>395</v>
      </c>
      <c r="B73">
        <v>50</v>
      </c>
      <c r="C73" s="1">
        <f>$B$14/B73</f>
        <v>15.798810790107771</v>
      </c>
      <c r="D73" s="6">
        <f t="shared" ref="D73:D83" si="29">(C73*2)/24</f>
        <v>1.3165675658423142</v>
      </c>
      <c r="E73" s="121">
        <f>IF(AND(A73=Inputs!$B$79,Inputs!$C$79&lt;&gt;""),Inputs!$C$79,16575)</f>
        <v>16575</v>
      </c>
      <c r="F73" s="80">
        <f>($B$14/(B73*(24/2)))</f>
        <v>1.3165675658423142</v>
      </c>
      <c r="G73" s="80">
        <f t="shared" ref="G73:G78" si="30">1-F73</f>
        <v>-0.31656756584231416</v>
      </c>
      <c r="H73" s="6">
        <f t="shared" ref="H73:H78" si="31">((24*B73)*(G73))*8.6</f>
        <v>-3266.9772794926821</v>
      </c>
      <c r="I73" s="6">
        <f t="shared" ref="I73:I78" si="32">H73/$B$2</f>
        <v>-12.421966842177499</v>
      </c>
      <c r="J73" s="6">
        <f t="shared" ref="J73:J78" si="33">H73/$B$3</f>
        <v>-51.856782214169556</v>
      </c>
      <c r="K73" s="120">
        <f t="shared" ref="K73:K78" si="34">D73</f>
        <v>1.3165675658423142</v>
      </c>
      <c r="L73" s="12">
        <f t="shared" ref="L73:L79" si="35">B73*24*8.6</f>
        <v>10320</v>
      </c>
    </row>
    <row r="74" spans="1:12">
      <c r="A74" s="35" t="s">
        <v>396</v>
      </c>
      <c r="B74">
        <v>50</v>
      </c>
      <c r="C74" s="1">
        <f>$B$14/B74+0.000001</f>
        <v>15.79881179010777</v>
      </c>
      <c r="D74" s="6">
        <f t="shared" si="29"/>
        <v>1.3165676491756475</v>
      </c>
      <c r="E74" s="121">
        <f>IF(AND(A74=Inputs!$B$79,Inputs!$C$79&lt;&gt;""),Inputs!$C$79,16575+9100)</f>
        <v>25675</v>
      </c>
      <c r="F74" s="80">
        <f t="shared" ref="F74:F84" si="36">($B$14/(B74*(24/2)))</f>
        <v>1.3165675658423142</v>
      </c>
      <c r="G74" s="80">
        <f t="shared" si="30"/>
        <v>-0.31656756584231416</v>
      </c>
      <c r="H74" s="6">
        <f t="shared" si="31"/>
        <v>-3266.9772794926821</v>
      </c>
      <c r="I74" s="6">
        <f t="shared" si="32"/>
        <v>-12.421966842177499</v>
      </c>
      <c r="J74" s="6">
        <f t="shared" si="33"/>
        <v>-51.856782214169556</v>
      </c>
      <c r="K74" s="120">
        <f t="shared" si="34"/>
        <v>1.3165676491756475</v>
      </c>
      <c r="L74" s="12">
        <f t="shared" si="35"/>
        <v>10320</v>
      </c>
    </row>
    <row r="75" spans="1:12">
      <c r="A75" s="35" t="s">
        <v>397</v>
      </c>
      <c r="B75">
        <v>100</v>
      </c>
      <c r="C75" s="1">
        <f t="shared" ref="C75:C83" si="37">$B$14/B75</f>
        <v>7.8994053950538854</v>
      </c>
      <c r="D75" s="6">
        <f t="shared" si="29"/>
        <v>0.65828378292115708</v>
      </c>
      <c r="E75" s="121">
        <f>IF(AND(A75=Inputs!$B$79,Inputs!$C$79&lt;&gt;""),Inputs!$C$79,18575)</f>
        <v>18575</v>
      </c>
      <c r="F75" s="80">
        <f t="shared" si="36"/>
        <v>0.65828378292115708</v>
      </c>
      <c r="G75" s="80">
        <f t="shared" si="30"/>
        <v>0.34171621707884292</v>
      </c>
      <c r="H75" s="6">
        <f t="shared" si="31"/>
        <v>7053.0227205073179</v>
      </c>
      <c r="I75" s="6">
        <f t="shared" si="32"/>
        <v>26.817576884058244</v>
      </c>
      <c r="J75" s="6">
        <f t="shared" si="33"/>
        <v>111.95274159535425</v>
      </c>
      <c r="K75" s="120">
        <f t="shared" si="34"/>
        <v>0.65828378292115708</v>
      </c>
      <c r="L75" s="12">
        <f t="shared" si="35"/>
        <v>20640</v>
      </c>
    </row>
    <row r="76" spans="1:12">
      <c r="A76" s="35" t="s">
        <v>398</v>
      </c>
      <c r="B76">
        <v>100</v>
      </c>
      <c r="C76" s="1">
        <f>$B$14/B76+0.000001</f>
        <v>7.8994063950538855</v>
      </c>
      <c r="D76" s="6">
        <f t="shared" si="29"/>
        <v>0.65828386625449042</v>
      </c>
      <c r="E76" s="121">
        <f>IF(AND(A76=Inputs!$B$79,Inputs!$C$79&lt;&gt;""),Inputs!$C$79,18575+9100)</f>
        <v>27675</v>
      </c>
      <c r="F76" s="80">
        <f t="shared" si="36"/>
        <v>0.65828378292115708</v>
      </c>
      <c r="G76" s="80">
        <f t="shared" si="30"/>
        <v>0.34171621707884292</v>
      </c>
      <c r="H76" s="6">
        <f t="shared" si="31"/>
        <v>7053.0227205073179</v>
      </c>
      <c r="I76" s="6">
        <f t="shared" si="32"/>
        <v>26.817576884058244</v>
      </c>
      <c r="J76" s="6">
        <f t="shared" si="33"/>
        <v>111.95274159535425</v>
      </c>
      <c r="K76" s="120">
        <f t="shared" si="34"/>
        <v>0.65828386625449042</v>
      </c>
      <c r="L76" s="12">
        <f t="shared" si="35"/>
        <v>20640</v>
      </c>
    </row>
    <row r="77" spans="1:12">
      <c r="A77" s="35" t="s">
        <v>399</v>
      </c>
      <c r="B77">
        <v>150</v>
      </c>
      <c r="C77" s="1">
        <f t="shared" si="37"/>
        <v>5.2662702633692566</v>
      </c>
      <c r="D77" s="6">
        <f t="shared" si="29"/>
        <v>0.43885585528077137</v>
      </c>
      <c r="E77" s="121">
        <f>IF(AND(A77=Inputs!$B$79,Inputs!$C$79&lt;&gt;""),Inputs!$C$79,19575)</f>
        <v>19575</v>
      </c>
      <c r="F77" s="80">
        <f t="shared" si="36"/>
        <v>0.43885585528077142</v>
      </c>
      <c r="G77" s="80">
        <f t="shared" si="30"/>
        <v>0.56114414471922858</v>
      </c>
      <c r="H77" s="6">
        <f t="shared" si="31"/>
        <v>17373.022720507317</v>
      </c>
      <c r="I77" s="6">
        <f t="shared" si="32"/>
        <v>66.057120610293978</v>
      </c>
      <c r="J77" s="6">
        <f t="shared" si="33"/>
        <v>275.76226540487806</v>
      </c>
      <c r="K77" s="120">
        <f t="shared" si="34"/>
        <v>0.43885585528077137</v>
      </c>
      <c r="L77" s="12">
        <f t="shared" si="35"/>
        <v>30960</v>
      </c>
    </row>
    <row r="78" spans="1:12">
      <c r="A78" s="35" t="s">
        <v>400</v>
      </c>
      <c r="B78">
        <v>150</v>
      </c>
      <c r="C78" s="1">
        <f>$B$14/B78+0.000001</f>
        <v>5.2662712633692568</v>
      </c>
      <c r="D78" s="6">
        <f t="shared" si="29"/>
        <v>0.43885593861410471</v>
      </c>
      <c r="E78" s="121">
        <f>IF(AND(A78=Inputs!$B$79,Inputs!$C$79&lt;&gt;""),Inputs!$C$79,19575+9100)</f>
        <v>28675</v>
      </c>
      <c r="F78" s="80">
        <f t="shared" si="36"/>
        <v>0.43885585528077142</v>
      </c>
      <c r="G78" s="80">
        <f t="shared" si="30"/>
        <v>0.56114414471922858</v>
      </c>
      <c r="H78" s="6">
        <f t="shared" si="31"/>
        <v>17373.022720507317</v>
      </c>
      <c r="I78" s="6">
        <f t="shared" si="32"/>
        <v>66.057120610293978</v>
      </c>
      <c r="J78" s="6">
        <f t="shared" si="33"/>
        <v>275.76226540487806</v>
      </c>
      <c r="K78" s="120">
        <f t="shared" si="34"/>
        <v>0.43885593861410471</v>
      </c>
      <c r="L78" s="12">
        <f t="shared" si="35"/>
        <v>30960</v>
      </c>
    </row>
    <row r="79" spans="1:12">
      <c r="A79" s="35" t="s">
        <v>401</v>
      </c>
      <c r="B79">
        <v>200</v>
      </c>
      <c r="C79" s="1">
        <f t="shared" si="37"/>
        <v>3.9497026975269427</v>
      </c>
      <c r="D79" s="6">
        <f t="shared" si="29"/>
        <v>0.32914189146057854</v>
      </c>
      <c r="E79" s="122">
        <f>IF(AND(A79=Inputs!$B$79,Inputs!$C$79&lt;&gt;""),Inputs!$C$79,20575)</f>
        <v>20575</v>
      </c>
      <c r="F79" s="80">
        <f t="shared" si="36"/>
        <v>0.32914189146057854</v>
      </c>
      <c r="G79" s="80">
        <f>1-F79</f>
        <v>0.6708581085394214</v>
      </c>
      <c r="H79" s="6">
        <f>((24*B79)*(G79))*8.6</f>
        <v>27693.022720507313</v>
      </c>
      <c r="I79" s="6">
        <f>H79/$B$2</f>
        <v>105.2966643365297</v>
      </c>
      <c r="J79" s="6">
        <f>H79/$B$3</f>
        <v>439.5717892144018</v>
      </c>
      <c r="K79" s="120">
        <f>D79</f>
        <v>0.32914189146057854</v>
      </c>
      <c r="L79" s="12">
        <f t="shared" si="35"/>
        <v>41280</v>
      </c>
    </row>
    <row r="80" spans="1:12">
      <c r="A80" s="35" t="s">
        <v>402</v>
      </c>
      <c r="B80">
        <v>200</v>
      </c>
      <c r="C80" s="1">
        <f>$B$14/B80+0.000001</f>
        <v>3.9497036975269428</v>
      </c>
      <c r="D80" s="6">
        <f t="shared" si="29"/>
        <v>0.32914197479391188</v>
      </c>
      <c r="E80" s="122">
        <f>IF(AND(A80=Inputs!$B$79,Inputs!$C$79&lt;&gt;""),Inputs!$C$79,20575+9100)</f>
        <v>29675</v>
      </c>
      <c r="F80" s="80">
        <f t="shared" si="36"/>
        <v>0.32914189146057854</v>
      </c>
      <c r="G80" s="80">
        <f t="shared" ref="G80:G84" si="38">1-F80</f>
        <v>0.6708581085394214</v>
      </c>
      <c r="H80" s="6">
        <f t="shared" ref="H80:H85" si="39">((24*B80)*(G80))*8.6</f>
        <v>27693.022720507313</v>
      </c>
      <c r="I80" s="6">
        <f t="shared" ref="I80:I85" si="40">H80/$B$2</f>
        <v>105.2966643365297</v>
      </c>
      <c r="J80" s="6">
        <f t="shared" ref="J80:J85" si="41">H80/$B$3</f>
        <v>439.5717892144018</v>
      </c>
      <c r="K80" s="120">
        <f t="shared" ref="K80:K85" si="42">D80</f>
        <v>0.32914197479391188</v>
      </c>
      <c r="L80" s="12">
        <f t="shared" ref="L80:L85" si="43">B80*24*8.6</f>
        <v>41280</v>
      </c>
    </row>
    <row r="81" spans="1:18">
      <c r="A81" s="35" t="s">
        <v>403</v>
      </c>
      <c r="B81" s="12">
        <v>250</v>
      </c>
      <c r="C81" s="1">
        <f t="shared" si="37"/>
        <v>3.1597621580215542</v>
      </c>
      <c r="D81" s="6">
        <f t="shared" si="29"/>
        <v>0.26331351316846285</v>
      </c>
      <c r="E81" s="122">
        <f>IF(AND(A81=Inputs!$B$79,Inputs!$C$79&lt;&gt;""),Inputs!$C$79,22000)</f>
        <v>22000</v>
      </c>
      <c r="F81" s="80">
        <f t="shared" si="36"/>
        <v>0.26331351316846285</v>
      </c>
      <c r="G81" s="80">
        <f t="shared" si="38"/>
        <v>0.73668648683153715</v>
      </c>
      <c r="H81" s="6">
        <f t="shared" si="39"/>
        <v>38013.022720507317</v>
      </c>
      <c r="I81" s="6">
        <f t="shared" si="40"/>
        <v>144.53620806276547</v>
      </c>
      <c r="J81" s="6">
        <f t="shared" si="41"/>
        <v>603.38131302392571</v>
      </c>
      <c r="K81" s="120">
        <f t="shared" si="42"/>
        <v>0.26331351316846285</v>
      </c>
      <c r="L81" s="12">
        <f t="shared" si="43"/>
        <v>51600</v>
      </c>
      <c r="Q81" t="s">
        <v>404</v>
      </c>
      <c r="R81">
        <v>15000</v>
      </c>
    </row>
    <row r="82" spans="1:18">
      <c r="A82" s="35" t="s">
        <v>405</v>
      </c>
      <c r="B82" s="12">
        <v>250</v>
      </c>
      <c r="C82" s="1">
        <f>$B$14/B82+0.000001</f>
        <v>3.1597631580215544</v>
      </c>
      <c r="D82" s="6">
        <f t="shared" si="29"/>
        <v>0.2633135965017962</v>
      </c>
      <c r="E82" s="122">
        <f>IF(AND(A82=Inputs!$B$79,Inputs!$C$79&lt;&gt;""),Inputs!$C$79,22000+9100)</f>
        <v>31100</v>
      </c>
      <c r="F82" s="80">
        <f t="shared" si="36"/>
        <v>0.26331351316846285</v>
      </c>
      <c r="G82" s="80">
        <f t="shared" si="38"/>
        <v>0.73668648683153715</v>
      </c>
      <c r="H82" s="6">
        <f t="shared" si="39"/>
        <v>38013.022720507317</v>
      </c>
      <c r="I82" s="6">
        <f t="shared" si="40"/>
        <v>144.53620806276547</v>
      </c>
      <c r="J82" s="6">
        <f t="shared" si="41"/>
        <v>603.38131302392571</v>
      </c>
      <c r="K82" s="120">
        <f t="shared" si="42"/>
        <v>0.2633135965017962</v>
      </c>
      <c r="L82" s="12">
        <f t="shared" si="43"/>
        <v>51600</v>
      </c>
      <c r="Q82" t="s">
        <v>406</v>
      </c>
      <c r="R82">
        <v>4</v>
      </c>
    </row>
    <row r="83" spans="1:18">
      <c r="A83" s="35" t="s">
        <v>407</v>
      </c>
      <c r="B83" s="12">
        <v>300</v>
      </c>
      <c r="C83" s="1">
        <f t="shared" si="37"/>
        <v>2.6331351316846283</v>
      </c>
      <c r="D83" s="6">
        <f t="shared" si="29"/>
        <v>0.21942792764038568</v>
      </c>
      <c r="E83" s="122">
        <f>IF(AND(A83=Inputs!$B$79,Inputs!$C$79&lt;&gt;""),Inputs!$C$79,24075)</f>
        <v>24075</v>
      </c>
      <c r="F83" s="80">
        <f t="shared" si="36"/>
        <v>0.21942792764038571</v>
      </c>
      <c r="G83" s="80">
        <f t="shared" si="38"/>
        <v>0.78057207235961434</v>
      </c>
      <c r="H83" s="6">
        <f t="shared" si="39"/>
        <v>48333.022720507324</v>
      </c>
      <c r="I83" s="6">
        <f t="shared" si="40"/>
        <v>183.77575178900122</v>
      </c>
      <c r="J83" s="6">
        <f t="shared" si="41"/>
        <v>767.19083683344957</v>
      </c>
      <c r="K83" s="120">
        <f t="shared" si="42"/>
        <v>0.21942792764038568</v>
      </c>
      <c r="L83" s="12">
        <f t="shared" si="43"/>
        <v>61920</v>
      </c>
      <c r="Q83" t="s">
        <v>408</v>
      </c>
      <c r="R83" s="12">
        <f>CONVERT(R82,"gal","l")</f>
        <v>15.141647136</v>
      </c>
    </row>
    <row r="84" spans="1:18">
      <c r="A84" s="35" t="s">
        <v>409</v>
      </c>
      <c r="B84" s="12">
        <v>300</v>
      </c>
      <c r="C84" s="1">
        <f>$B$14/B84+0.000001</f>
        <v>2.6331361316846285</v>
      </c>
      <c r="D84" s="6">
        <f t="shared" ref="D84" si="44">(C84*2)/24</f>
        <v>0.21942801097371903</v>
      </c>
      <c r="E84" s="122">
        <f>IF(AND(A84=Inputs!$B$79,Inputs!$C$79&lt;&gt;""),Inputs!$C$79,24075+9100)</f>
        <v>33175</v>
      </c>
      <c r="F84" s="80">
        <f t="shared" si="36"/>
        <v>0.21942792764038571</v>
      </c>
      <c r="G84" s="80">
        <f t="shared" si="38"/>
        <v>0.78057207235961434</v>
      </c>
      <c r="H84" s="6">
        <f t="shared" si="39"/>
        <v>48333.022720507324</v>
      </c>
      <c r="I84" s="6">
        <f t="shared" si="40"/>
        <v>183.77575178900122</v>
      </c>
      <c r="J84" s="6">
        <f t="shared" si="41"/>
        <v>767.19083683344957</v>
      </c>
      <c r="K84" s="120">
        <f t="shared" si="42"/>
        <v>0.21942801097371903</v>
      </c>
      <c r="L84" s="12">
        <f t="shared" si="43"/>
        <v>61920</v>
      </c>
      <c r="Q84" t="s">
        <v>410</v>
      </c>
      <c r="R84" s="12">
        <f>CONVERT(R81,"us_pt","l")</f>
        <v>7097.6470949999994</v>
      </c>
    </row>
    <row r="85" spans="1:18">
      <c r="A85" s="45" t="s">
        <v>411</v>
      </c>
      <c r="B85" s="12">
        <f>IF(Inputs!$B$79="Quoted Batch Pasteurizer Vat Combo",CONVERT(Inputs!$D$79,"l","gal"),0)</f>
        <v>0</v>
      </c>
      <c r="C85" s="1">
        <f>IF(B85=0,210240,$B$14/B85)</f>
        <v>210240</v>
      </c>
      <c r="D85" s="1">
        <f t="shared" ref="D85" si="45">C85/24</f>
        <v>8760</v>
      </c>
      <c r="E85" s="1">
        <f>IF(A85=Inputs!$B$79,Inputs!$C$79,0)</f>
        <v>0</v>
      </c>
      <c r="F85" s="80">
        <f>IF(B85=0,0,($B$14/(B85*(24/2))))</f>
        <v>0</v>
      </c>
      <c r="G85" s="80">
        <f>IF((F85)=0,0,(1-F85))</f>
        <v>0</v>
      </c>
      <c r="H85" s="6">
        <f t="shared" si="39"/>
        <v>0</v>
      </c>
      <c r="I85" s="6">
        <f t="shared" si="40"/>
        <v>0</v>
      </c>
      <c r="J85" s="6">
        <f t="shared" si="41"/>
        <v>0</v>
      </c>
      <c r="K85" s="120">
        <f t="shared" si="42"/>
        <v>8760</v>
      </c>
      <c r="L85" s="12">
        <f t="shared" si="43"/>
        <v>0</v>
      </c>
    </row>
    <row r="86" spans="1:18">
      <c r="A86" s="45" t="s">
        <v>135</v>
      </c>
      <c r="B86" s="12"/>
      <c r="C86" s="123"/>
      <c r="D86" s="123"/>
      <c r="E86" s="116">
        <v>31911.07</v>
      </c>
      <c r="F86" s="80"/>
      <c r="G86" s="80"/>
      <c r="H86" s="6"/>
      <c r="I86" s="6"/>
      <c r="J86" s="6"/>
      <c r="K86" s="120"/>
      <c r="L86" s="12"/>
    </row>
    <row r="87" spans="1:18">
      <c r="A87" s="45" t="s">
        <v>117</v>
      </c>
      <c r="D87" s="12"/>
      <c r="F87" s="118"/>
      <c r="G87" s="118"/>
      <c r="H87" s="6"/>
      <c r="I87" s="6"/>
      <c r="J87" s="6"/>
      <c r="K87" s="46"/>
      <c r="L87" s="12"/>
    </row>
    <row r="88" spans="1:18" ht="15" thickBot="1">
      <c r="A88" s="47"/>
      <c r="B88" s="32"/>
      <c r="C88" s="32"/>
      <c r="D88" s="48"/>
      <c r="E88" s="32"/>
      <c r="F88" s="125"/>
      <c r="G88" s="125"/>
      <c r="H88" s="126"/>
      <c r="I88" s="126"/>
      <c r="J88" s="126"/>
      <c r="K88" s="33"/>
      <c r="L88" s="12"/>
    </row>
    <row r="89" spans="1:18" ht="43.15">
      <c r="A89" s="34" t="s">
        <v>303</v>
      </c>
      <c r="B89" s="127"/>
      <c r="C89" s="128" t="s">
        <v>337</v>
      </c>
      <c r="D89" s="128" t="s">
        <v>338</v>
      </c>
      <c r="E89" s="127" t="s">
        <v>339</v>
      </c>
      <c r="F89" s="128" t="s">
        <v>267</v>
      </c>
      <c r="G89" s="128" t="s">
        <v>340</v>
      </c>
      <c r="H89" s="128" t="s">
        <v>341</v>
      </c>
      <c r="I89" s="128" t="s">
        <v>342</v>
      </c>
      <c r="J89" s="128" t="s">
        <v>343</v>
      </c>
      <c r="K89" s="129" t="s">
        <v>344</v>
      </c>
      <c r="L89" s="12"/>
    </row>
    <row r="90" spans="1:18">
      <c r="A90" s="35" t="s">
        <v>412</v>
      </c>
      <c r="B90" s="105"/>
      <c r="C90" s="133"/>
      <c r="D90" s="133"/>
      <c r="E90" s="124">
        <f>IF(AND(A90=Inputs!$B$74,Inputs!$C$74&lt;&gt;""),Inputs!$C$74,3500)</f>
        <v>3500</v>
      </c>
      <c r="F90" s="80">
        <f>IF(B90=0,0,($B$14/(B90*(24))))</f>
        <v>0</v>
      </c>
      <c r="G90" s="80">
        <f>1-F90</f>
        <v>1</v>
      </c>
      <c r="H90" s="6">
        <f>((24*B90)*(G90))*8.6</f>
        <v>0</v>
      </c>
      <c r="I90" s="6">
        <f>H90/$B$2</f>
        <v>0</v>
      </c>
      <c r="J90" s="6">
        <f>H90/$B$3</f>
        <v>0</v>
      </c>
      <c r="K90" s="120">
        <f>D90</f>
        <v>0</v>
      </c>
      <c r="L90" s="12">
        <f t="shared" ref="L90:L95" si="46">B90*24*8.6</f>
        <v>0</v>
      </c>
    </row>
    <row r="91" spans="1:18">
      <c r="A91" s="35" t="s">
        <v>413</v>
      </c>
      <c r="B91" s="105"/>
      <c r="C91" s="133"/>
      <c r="D91" s="133"/>
      <c r="E91" s="124">
        <f>IF(AND(A91=Inputs!$B$74,Inputs!$C$74&lt;&gt;""),Inputs!$C$74,5000)</f>
        <v>5000</v>
      </c>
      <c r="F91" s="80">
        <f t="shared" ref="F91:F99" si="47">IF(B91=0,0,($B$14/(B91*(24))))</f>
        <v>0</v>
      </c>
      <c r="G91" s="80">
        <f t="shared" ref="G91:G98" si="48">1-F91</f>
        <v>1</v>
      </c>
      <c r="H91" s="6">
        <f t="shared" ref="H91:H99" si="49">((24*B91)*(G91))*8.6</f>
        <v>0</v>
      </c>
      <c r="I91" s="6">
        <f t="shared" ref="I91:I99" si="50">H91/$B$2</f>
        <v>0</v>
      </c>
      <c r="J91" s="6">
        <f t="shared" ref="J91:J99" si="51">H91/$B$3</f>
        <v>0</v>
      </c>
      <c r="K91" s="120">
        <f t="shared" ref="K91:K99" si="52">D91</f>
        <v>0</v>
      </c>
      <c r="L91" s="12">
        <f t="shared" si="46"/>
        <v>0</v>
      </c>
    </row>
    <row r="92" spans="1:18">
      <c r="A92" s="35" t="s">
        <v>414</v>
      </c>
      <c r="B92" s="105"/>
      <c r="C92" s="133"/>
      <c r="D92" s="133"/>
      <c r="E92" s="124">
        <f>IF(AND(A92=Inputs!$B$74,Inputs!$C$74&lt;&gt;""),Inputs!$C$74,9000)</f>
        <v>9000</v>
      </c>
      <c r="F92" s="80">
        <f t="shared" si="47"/>
        <v>0</v>
      </c>
      <c r="G92" s="80">
        <f t="shared" si="48"/>
        <v>1</v>
      </c>
      <c r="H92" s="6">
        <f t="shared" si="49"/>
        <v>0</v>
      </c>
      <c r="I92" s="6">
        <f t="shared" si="50"/>
        <v>0</v>
      </c>
      <c r="J92" s="6">
        <f t="shared" si="51"/>
        <v>0</v>
      </c>
      <c r="K92" s="120">
        <f t="shared" si="52"/>
        <v>0</v>
      </c>
      <c r="L92" s="12">
        <f t="shared" si="46"/>
        <v>0</v>
      </c>
    </row>
    <row r="93" spans="1:18">
      <c r="A93" s="35" t="s">
        <v>415</v>
      </c>
      <c r="B93" s="105"/>
      <c r="C93" s="133"/>
      <c r="D93" s="133"/>
      <c r="E93" s="124">
        <f>IF(AND(A93=Inputs!$B$74,Inputs!$C$74&lt;&gt;""),Inputs!$C$74,12500)</f>
        <v>12500</v>
      </c>
      <c r="F93" s="80">
        <f t="shared" si="47"/>
        <v>0</v>
      </c>
      <c r="G93" s="80">
        <f t="shared" si="48"/>
        <v>1</v>
      </c>
      <c r="H93" s="6">
        <f t="shared" si="49"/>
        <v>0</v>
      </c>
      <c r="I93" s="6">
        <f t="shared" si="50"/>
        <v>0</v>
      </c>
      <c r="J93" s="6">
        <f t="shared" si="51"/>
        <v>0</v>
      </c>
      <c r="K93" s="120">
        <f t="shared" si="52"/>
        <v>0</v>
      </c>
      <c r="L93" s="12">
        <f t="shared" si="46"/>
        <v>0</v>
      </c>
    </row>
    <row r="94" spans="1:18">
      <c r="A94" s="35" t="s">
        <v>416</v>
      </c>
      <c r="B94" s="105"/>
      <c r="C94" s="133"/>
      <c r="D94" s="133"/>
      <c r="E94" s="124">
        <f>IF(AND(A94=Inputs!$B$74,Inputs!$C$74&lt;&gt;""),Inputs!$C$74,15000)</f>
        <v>15000</v>
      </c>
      <c r="F94" s="80">
        <f t="shared" si="47"/>
        <v>0</v>
      </c>
      <c r="G94" s="80">
        <f t="shared" si="48"/>
        <v>1</v>
      </c>
      <c r="H94" s="6">
        <f t="shared" si="49"/>
        <v>0</v>
      </c>
      <c r="I94" s="6">
        <f t="shared" si="50"/>
        <v>0</v>
      </c>
      <c r="J94" s="6">
        <f t="shared" si="51"/>
        <v>0</v>
      </c>
      <c r="K94" s="120">
        <f t="shared" si="52"/>
        <v>0</v>
      </c>
      <c r="L94" s="12">
        <f t="shared" si="46"/>
        <v>0</v>
      </c>
    </row>
    <row r="95" spans="1:18">
      <c r="A95" s="35" t="s">
        <v>417</v>
      </c>
      <c r="B95" s="105"/>
      <c r="C95" s="133"/>
      <c r="D95" s="133"/>
      <c r="E95" s="124">
        <f>IF(AND(A95=Inputs!$B$74,Inputs!$C$74&lt;&gt;""),Inputs!$C$74,18500)</f>
        <v>18500</v>
      </c>
      <c r="F95" s="80">
        <f t="shared" si="47"/>
        <v>0</v>
      </c>
      <c r="G95" s="80">
        <f t="shared" si="48"/>
        <v>1</v>
      </c>
      <c r="H95" s="6">
        <f t="shared" si="49"/>
        <v>0</v>
      </c>
      <c r="I95" s="6">
        <f t="shared" si="50"/>
        <v>0</v>
      </c>
      <c r="J95" s="6">
        <f t="shared" si="51"/>
        <v>0</v>
      </c>
      <c r="K95" s="120">
        <f t="shared" si="52"/>
        <v>0</v>
      </c>
      <c r="L95" s="12">
        <f t="shared" si="46"/>
        <v>0</v>
      </c>
    </row>
    <row r="96" spans="1:18">
      <c r="A96" s="35" t="s">
        <v>418</v>
      </c>
      <c r="B96" s="105"/>
      <c r="C96" s="134"/>
      <c r="D96" s="134"/>
      <c r="E96" s="116">
        <f>IF(AND(A96=Inputs!$B$74,Inputs!$C$74&lt;&gt;""),Inputs!$C$74,3500)</f>
        <v>3500</v>
      </c>
      <c r="F96" s="80">
        <f t="shared" si="47"/>
        <v>0</v>
      </c>
      <c r="G96" s="80">
        <f t="shared" si="48"/>
        <v>1</v>
      </c>
      <c r="H96" s="6">
        <f t="shared" si="49"/>
        <v>0</v>
      </c>
      <c r="I96" s="6">
        <f t="shared" si="50"/>
        <v>0</v>
      </c>
      <c r="J96" s="6">
        <f t="shared" si="51"/>
        <v>0</v>
      </c>
      <c r="K96" s="120">
        <f t="shared" si="52"/>
        <v>0</v>
      </c>
      <c r="L96" s="12">
        <f t="shared" ref="L96:L99" si="53">B96*24*8.6</f>
        <v>0</v>
      </c>
    </row>
    <row r="97" spans="1:18">
      <c r="A97" s="35" t="s">
        <v>419</v>
      </c>
      <c r="B97" s="105"/>
      <c r="C97" s="134"/>
      <c r="D97" s="134"/>
      <c r="E97" s="116">
        <f>IF(AND(A97=Inputs!$B$74,Inputs!$C$74&lt;&gt;""),Inputs!$C$74,5000)</f>
        <v>5000</v>
      </c>
      <c r="F97" s="80">
        <f t="shared" si="47"/>
        <v>0</v>
      </c>
      <c r="G97" s="80">
        <f t="shared" si="48"/>
        <v>1</v>
      </c>
      <c r="H97" s="6">
        <f t="shared" si="49"/>
        <v>0</v>
      </c>
      <c r="I97" s="6">
        <f t="shared" si="50"/>
        <v>0</v>
      </c>
      <c r="J97" s="6">
        <f t="shared" si="51"/>
        <v>0</v>
      </c>
      <c r="K97" s="120">
        <f t="shared" si="52"/>
        <v>0</v>
      </c>
      <c r="L97" s="12">
        <f t="shared" si="53"/>
        <v>0</v>
      </c>
    </row>
    <row r="98" spans="1:18">
      <c r="A98" s="35" t="s">
        <v>420</v>
      </c>
      <c r="B98" s="135"/>
      <c r="C98" s="134"/>
      <c r="D98" s="134"/>
      <c r="E98" s="116">
        <f>IF(AND(A98=Inputs!$B$74,Inputs!$C$74&lt;&gt;""),Inputs!$C$74,9000)</f>
        <v>9000</v>
      </c>
      <c r="F98" s="80">
        <f t="shared" si="47"/>
        <v>0</v>
      </c>
      <c r="G98" s="80">
        <f t="shared" si="48"/>
        <v>1</v>
      </c>
      <c r="H98" s="6">
        <f t="shared" si="49"/>
        <v>0</v>
      </c>
      <c r="I98" s="6">
        <f t="shared" si="50"/>
        <v>0</v>
      </c>
      <c r="J98" s="6">
        <f t="shared" si="51"/>
        <v>0</v>
      </c>
      <c r="K98" s="120">
        <f t="shared" si="52"/>
        <v>0</v>
      </c>
      <c r="L98" s="12">
        <f t="shared" si="53"/>
        <v>0</v>
      </c>
      <c r="Q98" t="s">
        <v>404</v>
      </c>
      <c r="R98">
        <v>15000</v>
      </c>
    </row>
    <row r="99" spans="1:18">
      <c r="A99" s="45" t="s">
        <v>421</v>
      </c>
      <c r="B99" s="135">
        <f>IF(Inputs!$B$74="Quoted Cheese Press",CONVERT(Inputs!$D$74,"l","gal"),0)</f>
        <v>0</v>
      </c>
      <c r="C99" s="134"/>
      <c r="D99" s="134"/>
      <c r="E99" s="116">
        <f>IF(A99=Inputs!$B$74,Inputs!$C$74,0)</f>
        <v>0</v>
      </c>
      <c r="F99" s="80">
        <f t="shared" si="47"/>
        <v>0</v>
      </c>
      <c r="G99" s="80">
        <f>IF((F99)=0,0,(1-F99))</f>
        <v>0</v>
      </c>
      <c r="H99" s="6">
        <f t="shared" si="49"/>
        <v>0</v>
      </c>
      <c r="I99" s="6">
        <f t="shared" si="50"/>
        <v>0</v>
      </c>
      <c r="J99" s="6">
        <f t="shared" si="51"/>
        <v>0</v>
      </c>
      <c r="K99" s="120">
        <f t="shared" si="52"/>
        <v>0</v>
      </c>
      <c r="L99" s="12">
        <f t="shared" si="53"/>
        <v>0</v>
      </c>
    </row>
    <row r="100" spans="1:18">
      <c r="A100" s="45" t="s">
        <v>127</v>
      </c>
      <c r="B100" s="12"/>
      <c r="C100" s="123"/>
      <c r="D100" s="123"/>
      <c r="E100" s="116">
        <v>12120.57</v>
      </c>
      <c r="F100" s="80"/>
      <c r="G100" s="80"/>
      <c r="H100" s="6"/>
      <c r="I100" s="6"/>
      <c r="J100" s="6"/>
      <c r="K100" s="120"/>
      <c r="L100" s="12"/>
    </row>
    <row r="101" spans="1:18">
      <c r="A101" s="45" t="s">
        <v>117</v>
      </c>
      <c r="D101" s="12"/>
      <c r="F101" s="118"/>
      <c r="G101" s="118"/>
      <c r="H101" s="6"/>
      <c r="I101" s="6"/>
      <c r="J101" s="6"/>
      <c r="K101" s="46"/>
      <c r="L101" s="12"/>
    </row>
    <row r="102" spans="1:18" ht="15" thickBot="1">
      <c r="A102" s="47"/>
      <c r="B102" s="32"/>
      <c r="C102" s="32"/>
      <c r="D102" s="48"/>
      <c r="E102" s="32"/>
      <c r="F102" s="125"/>
      <c r="G102" s="125"/>
      <c r="H102" s="126"/>
      <c r="I102" s="126"/>
      <c r="J102" s="126"/>
      <c r="K102" s="33"/>
      <c r="L102" s="12"/>
    </row>
    <row r="103" spans="1:18" ht="43.15">
      <c r="A103" s="34" t="s">
        <v>138</v>
      </c>
      <c r="B103" s="127"/>
      <c r="C103" s="128" t="s">
        <v>337</v>
      </c>
      <c r="D103" s="128" t="s">
        <v>338</v>
      </c>
      <c r="E103" s="127" t="s">
        <v>339</v>
      </c>
      <c r="F103" s="128" t="s">
        <v>267</v>
      </c>
      <c r="G103" s="128" t="s">
        <v>340</v>
      </c>
      <c r="H103" s="128" t="s">
        <v>341</v>
      </c>
      <c r="I103" s="128" t="s">
        <v>342</v>
      </c>
      <c r="J103" s="128" t="s">
        <v>343</v>
      </c>
      <c r="K103" s="129" t="s">
        <v>344</v>
      </c>
      <c r="L103" s="12"/>
    </row>
    <row r="104" spans="1:18">
      <c r="A104" s="45" t="s">
        <v>422</v>
      </c>
      <c r="B104" s="135">
        <f>IF(Inputs!B82="Quoted Wash Station",CONVERT(Inputs!D82,"l","gal"),0)</f>
        <v>0</v>
      </c>
      <c r="C104" s="134"/>
      <c r="D104" s="134"/>
      <c r="E104" s="116">
        <f>IF(A104=Inputs!B82,Inputs!C82,0)</f>
        <v>0</v>
      </c>
      <c r="F104" s="80">
        <f>IF(B104=0,0,($B$14/(B104*(24))))</f>
        <v>0</v>
      </c>
      <c r="G104" s="80">
        <f>IF((F104)=0,0,(1-F104))</f>
        <v>0</v>
      </c>
      <c r="H104" s="6">
        <f t="shared" ref="H104" si="54">((24*B104)*(G104))*8.6</f>
        <v>0</v>
      </c>
      <c r="I104" s="6">
        <f t="shared" ref="I104" si="55">H104/$B$2</f>
        <v>0</v>
      </c>
      <c r="J104" s="6">
        <f t="shared" ref="J104" si="56">H104/$B$3</f>
        <v>0</v>
      </c>
      <c r="K104" s="120">
        <f t="shared" ref="K104" si="57">D104</f>
        <v>0</v>
      </c>
      <c r="L104" s="12">
        <f t="shared" ref="L104" si="58">B104*24*8.6</f>
        <v>0</v>
      </c>
    </row>
    <row r="105" spans="1:18">
      <c r="A105" s="45" t="s">
        <v>423</v>
      </c>
      <c r="B105" s="12"/>
      <c r="C105" s="123"/>
      <c r="D105" s="123"/>
      <c r="E105" s="116">
        <v>13880</v>
      </c>
      <c r="F105" s="80"/>
      <c r="G105" s="80"/>
      <c r="H105" s="6"/>
      <c r="I105" s="6"/>
      <c r="J105" s="6"/>
      <c r="K105" s="120"/>
      <c r="L105" s="12"/>
    </row>
    <row r="106" spans="1:18">
      <c r="A106" s="45" t="s">
        <v>117</v>
      </c>
      <c r="D106" s="12"/>
      <c r="F106" s="118"/>
      <c r="G106" s="118"/>
      <c r="H106" s="6"/>
      <c r="I106" s="6"/>
      <c r="J106" s="6"/>
      <c r="K106" s="46"/>
      <c r="L106" s="12"/>
    </row>
    <row r="107" spans="1:18" ht="15" thickBot="1">
      <c r="A107" s="47"/>
      <c r="B107" s="32"/>
      <c r="C107" s="32"/>
      <c r="D107" s="48"/>
      <c r="E107" s="32"/>
      <c r="F107" s="125"/>
      <c r="G107" s="125"/>
      <c r="H107" s="126"/>
      <c r="I107" s="126"/>
      <c r="J107" s="126"/>
      <c r="K107" s="33"/>
      <c r="L107" s="12"/>
    </row>
    <row r="108" spans="1:18" ht="43.15">
      <c r="A108" s="34" t="s">
        <v>116</v>
      </c>
      <c r="B108" s="127"/>
      <c r="C108" s="128" t="s">
        <v>337</v>
      </c>
      <c r="D108" s="128" t="s">
        <v>338</v>
      </c>
      <c r="E108" s="127" t="s">
        <v>339</v>
      </c>
      <c r="F108" s="128" t="s">
        <v>267</v>
      </c>
      <c r="G108" s="128" t="s">
        <v>340</v>
      </c>
      <c r="H108" s="128" t="s">
        <v>341</v>
      </c>
      <c r="I108" s="128" t="s">
        <v>342</v>
      </c>
      <c r="J108" s="128" t="s">
        <v>343</v>
      </c>
      <c r="K108" s="129" t="s">
        <v>344</v>
      </c>
      <c r="L108" s="12"/>
    </row>
    <row r="109" spans="1:18">
      <c r="A109" s="45" t="s">
        <v>424</v>
      </c>
      <c r="B109" s="135">
        <f>IF(Inputs!B68="Quoted Brine Tank",CONVERT(Inputs!D68,"l","gal"),0)</f>
        <v>0</v>
      </c>
      <c r="C109" s="134"/>
      <c r="D109" s="134"/>
      <c r="E109" s="116">
        <f>IF(A109=Inputs!B68,Inputs!C68,0)</f>
        <v>0</v>
      </c>
      <c r="F109" s="80">
        <f>IF(B109=0,0,($B$14/(B109*(24))))</f>
        <v>0</v>
      </c>
      <c r="G109" s="80">
        <f>IF((F109)=0,0,(1-F109))</f>
        <v>0</v>
      </c>
      <c r="H109" s="6">
        <f t="shared" ref="H109" si="59">((24*B109)*(G109))*8.6</f>
        <v>0</v>
      </c>
      <c r="I109" s="6">
        <f t="shared" ref="I109" si="60">H109/$B$2</f>
        <v>0</v>
      </c>
      <c r="J109" s="6">
        <f t="shared" ref="J109" si="61">H109/$B$3</f>
        <v>0</v>
      </c>
      <c r="K109" s="120">
        <f t="shared" ref="K109" si="62">D109</f>
        <v>0</v>
      </c>
      <c r="L109" s="12">
        <f t="shared" ref="L109" si="63">B109*24*8.6</f>
        <v>0</v>
      </c>
    </row>
    <row r="110" spans="1:18">
      <c r="A110" s="45" t="s">
        <v>425</v>
      </c>
      <c r="B110" s="12"/>
      <c r="C110" s="123"/>
      <c r="D110" s="123"/>
      <c r="E110" s="116">
        <v>24750</v>
      </c>
      <c r="F110" s="80"/>
      <c r="G110" s="80"/>
      <c r="H110" s="6"/>
      <c r="I110" s="6"/>
      <c r="J110" s="6"/>
      <c r="K110" s="120"/>
      <c r="L110" s="12"/>
    </row>
    <row r="111" spans="1:18">
      <c r="A111" s="45" t="s">
        <v>117</v>
      </c>
      <c r="D111" s="12"/>
      <c r="F111" s="118"/>
      <c r="G111" s="118"/>
      <c r="H111" s="6"/>
      <c r="I111" s="6"/>
      <c r="J111" s="6"/>
      <c r="K111" s="46"/>
      <c r="L111" s="12"/>
    </row>
    <row r="112" spans="1:18" ht="15" thickBot="1">
      <c r="A112" s="47"/>
      <c r="B112" s="32"/>
      <c r="C112" s="32"/>
      <c r="D112" s="48"/>
      <c r="E112" s="32"/>
      <c r="F112" s="125"/>
      <c r="G112" s="125"/>
      <c r="H112" s="126"/>
      <c r="I112" s="126"/>
      <c r="J112" s="126"/>
      <c r="K112" s="33"/>
      <c r="L112" s="12"/>
    </row>
    <row r="113" spans="1:12" ht="43.15">
      <c r="A113" s="34" t="s">
        <v>118</v>
      </c>
      <c r="B113" s="127"/>
      <c r="C113" s="128" t="s">
        <v>337</v>
      </c>
      <c r="D113" s="128" t="s">
        <v>338</v>
      </c>
      <c r="E113" s="127" t="s">
        <v>339</v>
      </c>
      <c r="F113" s="128" t="s">
        <v>267</v>
      </c>
      <c r="G113" s="128" t="s">
        <v>340</v>
      </c>
      <c r="H113" s="128" t="s">
        <v>341</v>
      </c>
      <c r="I113" s="128" t="s">
        <v>342</v>
      </c>
      <c r="J113" s="128" t="s">
        <v>343</v>
      </c>
      <c r="K113" s="129" t="s">
        <v>344</v>
      </c>
      <c r="L113" s="12"/>
    </row>
    <row r="114" spans="1:12">
      <c r="A114" s="45" t="s">
        <v>426</v>
      </c>
      <c r="B114" s="135">
        <f>IF(Inputs!B69="Quoted Brushing Machine",CONVERT(Inputs!D69,"l","gal"),0)</f>
        <v>0</v>
      </c>
      <c r="C114" s="134"/>
      <c r="D114" s="134"/>
      <c r="E114" s="116">
        <f>IF(A114=Inputs!B69,Inputs!C69,0)</f>
        <v>0</v>
      </c>
      <c r="F114" s="80">
        <f>IF(B114=0,0,($B$14/(B114*(24))))</f>
        <v>0</v>
      </c>
      <c r="G114" s="80">
        <f>IF((F114)=0,0,(1-F114))</f>
        <v>0</v>
      </c>
      <c r="H114" s="6">
        <f t="shared" ref="H114" si="64">((24*B114)*(G114))*8.6</f>
        <v>0</v>
      </c>
      <c r="I114" s="6">
        <f t="shared" ref="I114" si="65">H114/$B$2</f>
        <v>0</v>
      </c>
      <c r="J114" s="6">
        <f t="shared" ref="J114" si="66">H114/$B$3</f>
        <v>0</v>
      </c>
      <c r="K114" s="120">
        <f t="shared" ref="K114" si="67">D114</f>
        <v>0</v>
      </c>
      <c r="L114" s="12">
        <f t="shared" ref="L114" si="68">B114*24*8.6</f>
        <v>0</v>
      </c>
    </row>
    <row r="115" spans="1:12">
      <c r="A115" s="45" t="s">
        <v>427</v>
      </c>
      <c r="B115" s="12"/>
      <c r="C115" s="123"/>
      <c r="D115" s="123"/>
      <c r="E115" s="116">
        <v>62200</v>
      </c>
      <c r="F115" s="80"/>
      <c r="G115" s="80"/>
      <c r="H115" s="6"/>
      <c r="I115" s="6"/>
      <c r="J115" s="6"/>
      <c r="K115" s="120"/>
      <c r="L115" s="12"/>
    </row>
    <row r="116" spans="1:12">
      <c r="A116" s="45" t="s">
        <v>117</v>
      </c>
      <c r="D116" s="12"/>
      <c r="F116" s="118"/>
      <c r="G116" s="118"/>
      <c r="H116" s="6"/>
      <c r="I116" s="6"/>
      <c r="J116" s="6"/>
      <c r="K116" s="46"/>
      <c r="L116" s="12"/>
    </row>
    <row r="117" spans="1:12" ht="15" thickBot="1">
      <c r="A117" s="47"/>
      <c r="B117" s="32"/>
      <c r="C117" s="32"/>
      <c r="D117" s="48"/>
      <c r="E117" s="32"/>
      <c r="F117" s="125"/>
      <c r="G117" s="125"/>
      <c r="H117" s="126"/>
      <c r="I117" s="126"/>
      <c r="J117" s="126"/>
      <c r="K117" s="33"/>
      <c r="L117" s="12"/>
    </row>
    <row r="118" spans="1:12" ht="43.15">
      <c r="A118" s="34" t="s">
        <v>285</v>
      </c>
      <c r="B118" s="127"/>
      <c r="C118" s="128" t="s">
        <v>337</v>
      </c>
      <c r="D118" s="128" t="s">
        <v>338</v>
      </c>
      <c r="E118" s="127" t="s">
        <v>339</v>
      </c>
      <c r="F118" s="128" t="s">
        <v>267</v>
      </c>
      <c r="G118" s="128" t="s">
        <v>340</v>
      </c>
      <c r="H118" s="128" t="s">
        <v>341</v>
      </c>
      <c r="I118" s="128" t="s">
        <v>342</v>
      </c>
      <c r="J118" s="128" t="s">
        <v>343</v>
      </c>
      <c r="K118" s="129" t="s">
        <v>344</v>
      </c>
      <c r="L118" s="12"/>
    </row>
    <row r="119" spans="1:12">
      <c r="A119" s="45" t="s">
        <v>428</v>
      </c>
      <c r="B119" s="135">
        <f>IF(Inputs!B70="Quoted Cheese Piercer",CONVERT(Inputs!D70,"l","gal"),0)</f>
        <v>0</v>
      </c>
      <c r="C119" s="134"/>
      <c r="D119" s="134"/>
      <c r="E119" s="116">
        <f>IF(A119=Inputs!B70,Inputs!C70,0)</f>
        <v>0</v>
      </c>
      <c r="F119" s="80">
        <f>IF(B119=0,0,($B$14/(B119*(24))))</f>
        <v>0</v>
      </c>
      <c r="G119" s="80">
        <f>IF((F119)=0,0,(1-F119))</f>
        <v>0</v>
      </c>
      <c r="H119" s="6">
        <f t="shared" ref="H119" si="69">((24*B119)*(G119))*8.6</f>
        <v>0</v>
      </c>
      <c r="I119" s="6">
        <f t="shared" ref="I119" si="70">H119/$B$2</f>
        <v>0</v>
      </c>
      <c r="J119" s="6">
        <f t="shared" ref="J119" si="71">H119/$B$3</f>
        <v>0</v>
      </c>
      <c r="K119" s="120">
        <f t="shared" ref="K119" si="72">D119</f>
        <v>0</v>
      </c>
      <c r="L119" s="12">
        <f t="shared" ref="L119" si="73">B119*24*8.6</f>
        <v>0</v>
      </c>
    </row>
    <row r="120" spans="1:12">
      <c r="A120" s="45" t="s">
        <v>429</v>
      </c>
      <c r="B120" s="12"/>
      <c r="C120" s="123"/>
      <c r="D120" s="123"/>
      <c r="E120" s="116">
        <v>14190</v>
      </c>
      <c r="F120" s="80"/>
      <c r="G120" s="80"/>
      <c r="H120" s="6"/>
      <c r="I120" s="6"/>
      <c r="J120" s="6"/>
      <c r="K120" s="120"/>
      <c r="L120" s="12"/>
    </row>
    <row r="121" spans="1:12">
      <c r="A121" s="45" t="s">
        <v>117</v>
      </c>
      <c r="D121" s="12"/>
      <c r="F121" s="118"/>
      <c r="G121" s="118"/>
      <c r="H121" s="6"/>
      <c r="I121" s="6"/>
      <c r="J121" s="6"/>
      <c r="K121" s="46"/>
      <c r="L121" s="12"/>
    </row>
    <row r="122" spans="1:12" ht="15" thickBot="1">
      <c r="A122" s="47"/>
      <c r="B122" s="32"/>
      <c r="C122" s="32"/>
      <c r="D122" s="48"/>
      <c r="E122" s="32"/>
      <c r="F122" s="125"/>
      <c r="G122" s="125"/>
      <c r="H122" s="126"/>
      <c r="I122" s="126"/>
      <c r="J122" s="126"/>
      <c r="K122" s="33"/>
      <c r="L122" s="12"/>
    </row>
    <row r="123" spans="1:12" ht="43.15">
      <c r="A123" s="34" t="s">
        <v>120</v>
      </c>
      <c r="B123" s="127"/>
      <c r="C123" s="128" t="s">
        <v>337</v>
      </c>
      <c r="D123" s="128" t="s">
        <v>338</v>
      </c>
      <c r="E123" s="127" t="s">
        <v>339</v>
      </c>
      <c r="F123" s="128" t="s">
        <v>267</v>
      </c>
      <c r="G123" s="128" t="s">
        <v>340</v>
      </c>
      <c r="H123" s="128" t="s">
        <v>341</v>
      </c>
      <c r="I123" s="128" t="s">
        <v>342</v>
      </c>
      <c r="J123" s="128" t="s">
        <v>343</v>
      </c>
      <c r="K123" s="129" t="s">
        <v>344</v>
      </c>
      <c r="L123" s="12"/>
    </row>
    <row r="124" spans="1:12">
      <c r="A124" s="45" t="s">
        <v>430</v>
      </c>
      <c r="B124" s="135">
        <f>IF(Inputs!B71="Quoted Curd Distributors",CONVERT(Inputs!D71,"l","gal"),0)</f>
        <v>0</v>
      </c>
      <c r="C124" s="134"/>
      <c r="D124" s="134"/>
      <c r="E124" s="116">
        <f>IF(A124=Inputs!B71,Inputs!C71,0)</f>
        <v>0</v>
      </c>
      <c r="F124" s="80">
        <f>IF(B124=0,0,($B$14/(B124*(24))))</f>
        <v>0</v>
      </c>
      <c r="G124" s="80">
        <f>IF((F124)=0,0,(1-F124))</f>
        <v>0</v>
      </c>
      <c r="H124" s="6">
        <f t="shared" ref="H124" si="74">((24*B124)*(G124))*8.6</f>
        <v>0</v>
      </c>
      <c r="I124" s="6">
        <f t="shared" ref="I124" si="75">H124/$B$2</f>
        <v>0</v>
      </c>
      <c r="J124" s="6">
        <f t="shared" ref="J124" si="76">H124/$B$3</f>
        <v>0</v>
      </c>
      <c r="K124" s="120">
        <f t="shared" ref="K124" si="77">D124</f>
        <v>0</v>
      </c>
      <c r="L124" s="12">
        <f t="shared" ref="L124" si="78">B124*24*8.6</f>
        <v>0</v>
      </c>
    </row>
    <row r="125" spans="1:12">
      <c r="A125" s="45" t="s">
        <v>121</v>
      </c>
      <c r="B125" s="12"/>
      <c r="C125" s="123"/>
      <c r="D125" s="123"/>
      <c r="E125" s="116">
        <v>2132.25</v>
      </c>
      <c r="F125" s="80"/>
      <c r="G125" s="80"/>
      <c r="H125" s="6"/>
      <c r="I125" s="6"/>
      <c r="J125" s="6"/>
      <c r="K125" s="120"/>
      <c r="L125" s="12"/>
    </row>
    <row r="126" spans="1:12">
      <c r="A126" s="45" t="s">
        <v>117</v>
      </c>
      <c r="D126" s="12"/>
      <c r="F126" s="118"/>
      <c r="G126" s="118"/>
      <c r="H126" s="6"/>
      <c r="I126" s="6"/>
      <c r="J126" s="6"/>
      <c r="K126" s="46"/>
      <c r="L126" s="12"/>
    </row>
    <row r="127" spans="1:12" ht="15" thickBot="1">
      <c r="A127" s="47"/>
      <c r="B127" s="32"/>
      <c r="C127" s="32"/>
      <c r="D127" s="48"/>
      <c r="E127" s="32"/>
      <c r="F127" s="125"/>
      <c r="G127" s="125"/>
      <c r="H127" s="126"/>
      <c r="I127" s="126"/>
      <c r="J127" s="126"/>
      <c r="K127" s="33"/>
      <c r="L127" s="12"/>
    </row>
    <row r="128" spans="1:12" ht="43.15">
      <c r="A128" s="34" t="s">
        <v>431</v>
      </c>
      <c r="B128" s="127"/>
      <c r="C128" s="128" t="s">
        <v>337</v>
      </c>
      <c r="D128" s="128" t="s">
        <v>338</v>
      </c>
      <c r="E128" s="127" t="s">
        <v>339</v>
      </c>
      <c r="F128" s="128" t="s">
        <v>267</v>
      </c>
      <c r="G128" s="128" t="s">
        <v>340</v>
      </c>
      <c r="H128" s="128" t="s">
        <v>341</v>
      </c>
      <c r="I128" s="128" t="s">
        <v>342</v>
      </c>
      <c r="J128" s="128" t="s">
        <v>343</v>
      </c>
      <c r="K128" s="129" t="s">
        <v>344</v>
      </c>
      <c r="L128" s="12"/>
    </row>
    <row r="129" spans="1:12">
      <c r="A129" s="45" t="s">
        <v>432</v>
      </c>
      <c r="B129" s="135">
        <f>IF(Inputs!B72="Quoted Drain Table",CONVERT(Inputs!D72,"l","gal"),0)</f>
        <v>0</v>
      </c>
      <c r="C129" s="134"/>
      <c r="D129" s="134"/>
      <c r="E129" s="116">
        <f>IF(A129=Inputs!B72,Inputs!C72,0)</f>
        <v>0</v>
      </c>
      <c r="F129" s="80">
        <f>IF(B129=0,0,($B$14/(B129*(24))))</f>
        <v>0</v>
      </c>
      <c r="G129" s="80">
        <f>IF((F129)=0,0,(1-F129))</f>
        <v>0</v>
      </c>
      <c r="H129" s="6">
        <f t="shared" ref="H129" si="79">((24*B129)*(G129))*8.6</f>
        <v>0</v>
      </c>
      <c r="I129" s="6">
        <f t="shared" ref="I129" si="80">H129/$B$2</f>
        <v>0</v>
      </c>
      <c r="J129" s="6">
        <f t="shared" ref="J129" si="81">H129/$B$3</f>
        <v>0</v>
      </c>
      <c r="K129" s="120">
        <f t="shared" ref="K129" si="82">D129</f>
        <v>0</v>
      </c>
      <c r="L129" s="12">
        <f t="shared" ref="L129" si="83">B129*24*8.6</f>
        <v>0</v>
      </c>
    </row>
    <row r="130" spans="1:12">
      <c r="A130" s="45" t="s">
        <v>123</v>
      </c>
      <c r="B130" s="12"/>
      <c r="C130" s="123"/>
      <c r="D130" s="123"/>
      <c r="E130" s="116">
        <v>19497.66</v>
      </c>
      <c r="F130" s="80"/>
      <c r="G130" s="80"/>
      <c r="H130" s="6"/>
      <c r="I130" s="6"/>
      <c r="J130" s="6"/>
      <c r="K130" s="120"/>
      <c r="L130" s="12"/>
    </row>
    <row r="131" spans="1:12">
      <c r="A131" s="45" t="s">
        <v>117</v>
      </c>
      <c r="D131" s="12"/>
      <c r="F131" s="118"/>
      <c r="G131" s="118"/>
      <c r="H131" s="6"/>
      <c r="I131" s="6"/>
      <c r="J131" s="6"/>
      <c r="K131" s="46"/>
      <c r="L131" s="12"/>
    </row>
    <row r="132" spans="1:12" ht="15" thickBot="1">
      <c r="A132" s="47"/>
      <c r="B132" s="32"/>
      <c r="C132" s="32"/>
      <c r="D132" s="48"/>
      <c r="E132" s="32"/>
      <c r="F132" s="125"/>
      <c r="G132" s="125"/>
      <c r="H132" s="126"/>
      <c r="I132" s="126"/>
      <c r="J132" s="126"/>
      <c r="K132" s="33"/>
      <c r="L132" s="12"/>
    </row>
    <row r="133" spans="1:12" ht="43.15">
      <c r="A133" s="34" t="s">
        <v>124</v>
      </c>
      <c r="B133" s="127"/>
      <c r="C133" s="128" t="s">
        <v>337</v>
      </c>
      <c r="D133" s="128" t="s">
        <v>338</v>
      </c>
      <c r="E133" s="127" t="s">
        <v>339</v>
      </c>
      <c r="F133" s="128" t="s">
        <v>267</v>
      </c>
      <c r="G133" s="128" t="s">
        <v>340</v>
      </c>
      <c r="H133" s="128" t="s">
        <v>341</v>
      </c>
      <c r="I133" s="128" t="s">
        <v>342</v>
      </c>
      <c r="J133" s="128" t="s">
        <v>343</v>
      </c>
      <c r="K133" s="129" t="s">
        <v>344</v>
      </c>
      <c r="L133" s="12"/>
    </row>
    <row r="134" spans="1:12">
      <c r="A134" s="45" t="s">
        <v>433</v>
      </c>
      <c r="B134" s="135">
        <f>IF(Inputs!B73="Quoted Molds",CONVERT(Inputs!D73,"l","gal"),0)</f>
        <v>0</v>
      </c>
      <c r="C134" s="134"/>
      <c r="D134" s="134"/>
      <c r="E134" s="116">
        <f>IF(A134=Inputs!B73,Inputs!C73,0)</f>
        <v>0</v>
      </c>
      <c r="F134" s="80">
        <f>IF(B134=0,0,($B$14/(B134*(24))))</f>
        <v>0</v>
      </c>
      <c r="G134" s="80">
        <f>IF((F134)=0,0,(1-F134))</f>
        <v>0</v>
      </c>
      <c r="H134" s="6">
        <f t="shared" ref="H134" si="84">((24*B134)*(G134))*8.6</f>
        <v>0</v>
      </c>
      <c r="I134" s="6">
        <f t="shared" ref="I134" si="85">H134/$B$2</f>
        <v>0</v>
      </c>
      <c r="J134" s="6">
        <f t="shared" ref="J134" si="86">H134/$B$3</f>
        <v>0</v>
      </c>
      <c r="K134" s="120">
        <f t="shared" ref="K134" si="87">D134</f>
        <v>0</v>
      </c>
      <c r="L134" s="12">
        <f t="shared" ref="L134" si="88">B134*24*8.6</f>
        <v>0</v>
      </c>
    </row>
    <row r="135" spans="1:12">
      <c r="A135" s="45" t="s">
        <v>125</v>
      </c>
      <c r="B135" s="12"/>
      <c r="C135" s="123"/>
      <c r="D135" s="123"/>
      <c r="E135" s="116">
        <v>5118.87</v>
      </c>
      <c r="F135" s="80"/>
      <c r="G135" s="80"/>
      <c r="H135" s="6"/>
      <c r="I135" s="6"/>
      <c r="J135" s="6"/>
      <c r="K135" s="120"/>
      <c r="L135" s="12"/>
    </row>
    <row r="136" spans="1:12">
      <c r="A136" s="45" t="s">
        <v>117</v>
      </c>
      <c r="D136" s="12"/>
      <c r="F136" s="118"/>
      <c r="G136" s="118"/>
      <c r="H136" s="6"/>
      <c r="I136" s="6"/>
      <c r="J136" s="6"/>
      <c r="K136" s="46"/>
      <c r="L136" s="12"/>
    </row>
    <row r="137" spans="1:12" ht="15" thickBot="1">
      <c r="A137" s="47"/>
      <c r="B137" s="32"/>
      <c r="C137" s="32"/>
      <c r="D137" s="48"/>
      <c r="E137" s="32"/>
      <c r="F137" s="125"/>
      <c r="G137" s="125"/>
      <c r="H137" s="126"/>
      <c r="I137" s="126"/>
      <c r="J137" s="126"/>
      <c r="K137" s="33"/>
      <c r="L137" s="12"/>
    </row>
    <row r="138" spans="1:12" ht="43.15">
      <c r="A138" s="34" t="s">
        <v>128</v>
      </c>
      <c r="B138" s="127"/>
      <c r="C138" s="128" t="s">
        <v>337</v>
      </c>
      <c r="D138" s="128" t="s">
        <v>338</v>
      </c>
      <c r="E138" s="127" t="s">
        <v>339</v>
      </c>
      <c r="F138" s="128" t="s">
        <v>267</v>
      </c>
      <c r="G138" s="128" t="s">
        <v>340</v>
      </c>
      <c r="H138" s="128" t="s">
        <v>341</v>
      </c>
      <c r="I138" s="128" t="s">
        <v>342</v>
      </c>
      <c r="J138" s="128" t="s">
        <v>343</v>
      </c>
      <c r="K138" s="129" t="s">
        <v>344</v>
      </c>
      <c r="L138" s="12"/>
    </row>
    <row r="139" spans="1:12">
      <c r="A139" s="45" t="s">
        <v>434</v>
      </c>
      <c r="B139" s="135">
        <f>IF(Inputs!B75="Quoted Slicers",CONVERT(Inputs!D75,"l","gal"),0)</f>
        <v>0</v>
      </c>
      <c r="C139" s="134"/>
      <c r="D139" s="134"/>
      <c r="E139" s="116">
        <f>IF(A139=Inputs!B75,Inputs!C75,0)</f>
        <v>0</v>
      </c>
      <c r="F139" s="80">
        <f>IF(B139=0,0,($B$14/(B139*(24))))</f>
        <v>0</v>
      </c>
      <c r="G139" s="80">
        <f>IF((F139)=0,0,(1-F139))</f>
        <v>0</v>
      </c>
      <c r="H139" s="6">
        <f t="shared" ref="H139" si="89">((24*B139)*(G139))*8.6</f>
        <v>0</v>
      </c>
      <c r="I139" s="6">
        <f t="shared" ref="I139" si="90">H139/$B$2</f>
        <v>0</v>
      </c>
      <c r="J139" s="6">
        <f t="shared" ref="J139" si="91">H139/$B$3</f>
        <v>0</v>
      </c>
      <c r="K139" s="120">
        <f t="shared" ref="K139" si="92">D139</f>
        <v>0</v>
      </c>
      <c r="L139" s="12">
        <f t="shared" ref="L139" si="93">B139*24*8.6</f>
        <v>0</v>
      </c>
    </row>
    <row r="140" spans="1:12">
      <c r="A140" s="45" t="s">
        <v>129</v>
      </c>
      <c r="B140" s="12"/>
      <c r="C140" s="123"/>
      <c r="D140" s="123"/>
      <c r="E140" s="116">
        <v>10262.64</v>
      </c>
      <c r="F140" s="80"/>
      <c r="G140" s="80"/>
      <c r="H140" s="6"/>
      <c r="I140" s="6"/>
      <c r="J140" s="6"/>
      <c r="K140" s="120"/>
      <c r="L140" s="12"/>
    </row>
    <row r="141" spans="1:12">
      <c r="A141" s="45" t="s">
        <v>117</v>
      </c>
      <c r="D141" s="12"/>
      <c r="F141" s="118"/>
      <c r="G141" s="118"/>
      <c r="H141" s="6"/>
      <c r="I141" s="6"/>
      <c r="J141" s="6"/>
      <c r="K141" s="46"/>
      <c r="L141" s="12"/>
    </row>
    <row r="142" spans="1:12" ht="15" thickBot="1">
      <c r="A142" s="47"/>
      <c r="B142" s="32"/>
      <c r="C142" s="32"/>
      <c r="D142" s="48"/>
      <c r="E142" s="32"/>
      <c r="F142" s="125"/>
      <c r="G142" s="125"/>
      <c r="H142" s="126"/>
      <c r="I142" s="126"/>
      <c r="J142" s="126"/>
      <c r="K142" s="33"/>
      <c r="L142" s="12"/>
    </row>
    <row r="143" spans="1:12" ht="43.15">
      <c r="A143" s="34" t="s">
        <v>435</v>
      </c>
      <c r="B143" s="127"/>
      <c r="C143" s="128" t="s">
        <v>337</v>
      </c>
      <c r="D143" s="128" t="s">
        <v>338</v>
      </c>
      <c r="E143" s="127" t="s">
        <v>339</v>
      </c>
      <c r="F143" s="128" t="s">
        <v>267</v>
      </c>
      <c r="G143" s="128" t="s">
        <v>340</v>
      </c>
      <c r="H143" s="128" t="s">
        <v>341</v>
      </c>
      <c r="I143" s="128" t="s">
        <v>342</v>
      </c>
      <c r="J143" s="128" t="s">
        <v>343</v>
      </c>
      <c r="K143" s="129" t="s">
        <v>344</v>
      </c>
      <c r="L143" s="12"/>
    </row>
    <row r="144" spans="1:12">
      <c r="A144" s="45" t="s">
        <v>436</v>
      </c>
      <c r="B144" s="135">
        <f>IF(Inputs!B76="Quoted Smoker",CONVERT(Inputs!D76,"l","gal"),0)</f>
        <v>0</v>
      </c>
      <c r="C144" s="134"/>
      <c r="D144" s="134"/>
      <c r="E144" s="116">
        <f>IF(A144=Inputs!B76,Inputs!C76,0)</f>
        <v>0</v>
      </c>
      <c r="F144" s="80">
        <f>IF(B144=0,0,($B$14/(B144*(24))))</f>
        <v>0</v>
      </c>
      <c r="G144" s="80">
        <f>IF((F144)=0,0,(1-F144))</f>
        <v>0</v>
      </c>
      <c r="H144" s="6">
        <f t="shared" ref="H144" si="94">((24*B144)*(G144))*8.6</f>
        <v>0</v>
      </c>
      <c r="I144" s="6">
        <f t="shared" ref="I144" si="95">H144/$B$2</f>
        <v>0</v>
      </c>
      <c r="J144" s="6">
        <f t="shared" ref="J144" si="96">H144/$B$3</f>
        <v>0</v>
      </c>
      <c r="K144" s="120">
        <f t="shared" ref="K144" si="97">D144</f>
        <v>0</v>
      </c>
      <c r="L144" s="12">
        <f t="shared" ref="L144" si="98">B144*24*8.6</f>
        <v>0</v>
      </c>
    </row>
    <row r="145" spans="1:12">
      <c r="A145" s="45" t="s">
        <v>437</v>
      </c>
      <c r="B145" s="12"/>
      <c r="C145" s="123"/>
      <c r="D145" s="123"/>
      <c r="E145" s="116">
        <v>99493</v>
      </c>
      <c r="F145" s="80"/>
      <c r="G145" s="80"/>
      <c r="H145" s="6"/>
      <c r="I145" s="6"/>
      <c r="J145" s="6"/>
      <c r="K145" s="120"/>
      <c r="L145" s="12"/>
    </row>
    <row r="146" spans="1:12">
      <c r="A146" s="45" t="s">
        <v>117</v>
      </c>
      <c r="D146" s="12"/>
      <c r="F146" s="118"/>
      <c r="G146" s="118"/>
      <c r="H146" s="6"/>
      <c r="I146" s="6"/>
      <c r="J146" s="6"/>
      <c r="K146" s="46"/>
      <c r="L146" s="12"/>
    </row>
    <row r="147" spans="1:12" ht="15" thickBot="1">
      <c r="A147" s="47"/>
      <c r="B147" s="32"/>
      <c r="C147" s="32"/>
      <c r="D147" s="48"/>
      <c r="E147" s="32"/>
      <c r="F147" s="125"/>
      <c r="G147" s="125"/>
      <c r="H147" s="126"/>
      <c r="I147" s="126"/>
      <c r="J147" s="126"/>
      <c r="K147" s="33"/>
      <c r="L147" s="12"/>
    </row>
    <row r="148" spans="1:12" ht="43.15">
      <c r="A148" s="34" t="s">
        <v>438</v>
      </c>
      <c r="B148" s="127"/>
      <c r="C148" s="128" t="s">
        <v>337</v>
      </c>
      <c r="D148" s="128" t="s">
        <v>338</v>
      </c>
      <c r="E148" s="127" t="s">
        <v>339</v>
      </c>
      <c r="F148" s="128" t="s">
        <v>267</v>
      </c>
      <c r="G148" s="128" t="s">
        <v>340</v>
      </c>
      <c r="H148" s="128" t="s">
        <v>341</v>
      </c>
      <c r="I148" s="128" t="s">
        <v>342</v>
      </c>
      <c r="J148" s="128" t="s">
        <v>343</v>
      </c>
      <c r="K148" s="129" t="s">
        <v>344</v>
      </c>
      <c r="L148" s="12"/>
    </row>
    <row r="149" spans="1:12">
      <c r="A149" s="45" t="s">
        <v>439</v>
      </c>
      <c r="B149" s="135">
        <f>IF(Inputs!B77="Quoted Stretchers",CONVERT(Inputs!D77,"l","gal"),0)</f>
        <v>0</v>
      </c>
      <c r="C149" s="134"/>
      <c r="D149" s="134"/>
      <c r="E149" s="116">
        <f>IF(A149=Inputs!B77,Inputs!C77,0)</f>
        <v>0</v>
      </c>
      <c r="F149" s="80">
        <f>IF(B149=0,0,($B$14/(B149*(24))))</f>
        <v>0</v>
      </c>
      <c r="G149" s="80">
        <f>IF((F149)=0,0,(1-F149))</f>
        <v>0</v>
      </c>
      <c r="H149" s="6">
        <f t="shared" ref="H149" si="99">((24*B149)*(G149))*8.6</f>
        <v>0</v>
      </c>
      <c r="I149" s="6">
        <f t="shared" ref="I149" si="100">H149/$B$2</f>
        <v>0</v>
      </c>
      <c r="J149" s="6">
        <f t="shared" ref="J149" si="101">H149/$B$3</f>
        <v>0</v>
      </c>
      <c r="K149" s="120">
        <f t="shared" ref="K149" si="102">D149</f>
        <v>0</v>
      </c>
      <c r="L149" s="12">
        <f t="shared" ref="L149" si="103">B149*24*8.6</f>
        <v>0</v>
      </c>
    </row>
    <row r="150" spans="1:12">
      <c r="A150" s="45" t="s">
        <v>440</v>
      </c>
      <c r="B150" s="12"/>
      <c r="C150" s="123"/>
      <c r="D150" s="123"/>
      <c r="E150" s="116">
        <v>65000</v>
      </c>
      <c r="F150" s="80"/>
      <c r="G150" s="80"/>
      <c r="H150" s="6"/>
      <c r="I150" s="6"/>
      <c r="J150" s="6"/>
      <c r="K150" s="120"/>
      <c r="L150" s="12"/>
    </row>
    <row r="151" spans="1:12">
      <c r="A151" s="45" t="s">
        <v>117</v>
      </c>
      <c r="D151" s="12"/>
      <c r="F151" s="118"/>
      <c r="G151" s="118"/>
      <c r="H151" s="6"/>
      <c r="I151" s="6"/>
      <c r="J151" s="6"/>
      <c r="K151" s="46"/>
      <c r="L151" s="12"/>
    </row>
    <row r="152" spans="1:12" ht="15" thickBot="1">
      <c r="A152" s="47"/>
      <c r="B152" s="32"/>
      <c r="C152" s="32"/>
      <c r="D152" s="48"/>
      <c r="E152" s="32"/>
      <c r="F152" s="125"/>
      <c r="G152" s="125"/>
      <c r="H152" s="126"/>
      <c r="I152" s="126"/>
      <c r="J152" s="126"/>
      <c r="K152" s="33"/>
      <c r="L152" s="12"/>
    </row>
    <row r="153" spans="1:12" ht="43.15">
      <c r="A153" s="34" t="s">
        <v>112</v>
      </c>
      <c r="B153" s="127"/>
      <c r="C153" s="128" t="s">
        <v>337</v>
      </c>
      <c r="D153" s="128" t="s">
        <v>338</v>
      </c>
      <c r="E153" s="127" t="s">
        <v>339</v>
      </c>
      <c r="F153" s="128" t="s">
        <v>267</v>
      </c>
      <c r="G153" s="128" t="s">
        <v>340</v>
      </c>
      <c r="H153" s="128" t="s">
        <v>341</v>
      </c>
      <c r="I153" s="128" t="s">
        <v>342</v>
      </c>
      <c r="J153" s="128" t="s">
        <v>343</v>
      </c>
      <c r="K153" s="129" t="s">
        <v>344</v>
      </c>
      <c r="L153" s="12"/>
    </row>
    <row r="154" spans="1:12">
      <c r="A154" s="45" t="s">
        <v>441</v>
      </c>
      <c r="B154" s="135">
        <f>IF(Inputs!B66="Quoted Aging Room Env. Controls",CONVERT(Inputs!D66,"l","gal"),0)</f>
        <v>0</v>
      </c>
      <c r="C154" s="134"/>
      <c r="D154" s="134"/>
      <c r="E154" s="116">
        <f>IF(A154=Inputs!B66,Inputs!C66,0)</f>
        <v>0</v>
      </c>
      <c r="F154" s="80">
        <f>IF(B154=0,0,($B$14/(B154*(24))))</f>
        <v>0</v>
      </c>
      <c r="G154" s="80">
        <f>IF((F154)=0,0,(1-F154))</f>
        <v>0</v>
      </c>
      <c r="H154" s="6">
        <f t="shared" ref="H154" si="104">((24*B154)*(G154))*8.6</f>
        <v>0</v>
      </c>
      <c r="I154" s="6">
        <f t="shared" ref="I154" si="105">H154/$B$2</f>
        <v>0</v>
      </c>
      <c r="J154" s="6">
        <f t="shared" ref="J154" si="106">H154/$B$3</f>
        <v>0</v>
      </c>
      <c r="K154" s="120">
        <f t="shared" ref="K154" si="107">D154</f>
        <v>0</v>
      </c>
      <c r="L154" s="12">
        <f t="shared" ref="L154" si="108">B154*24*8.6</f>
        <v>0</v>
      </c>
    </row>
    <row r="155" spans="1:12">
      <c r="A155" s="45" t="s">
        <v>113</v>
      </c>
      <c r="B155" s="12"/>
      <c r="C155" s="123"/>
      <c r="D155" s="123"/>
      <c r="E155" s="116">
        <v>1500</v>
      </c>
      <c r="F155" s="80"/>
      <c r="G155" s="80"/>
      <c r="H155" s="6"/>
      <c r="I155" s="6"/>
      <c r="J155" s="6"/>
      <c r="K155" s="120"/>
      <c r="L155" s="12"/>
    </row>
    <row r="156" spans="1:12">
      <c r="A156" s="45" t="s">
        <v>117</v>
      </c>
      <c r="D156" s="12"/>
      <c r="F156" s="118"/>
      <c r="G156" s="118"/>
      <c r="H156" s="6"/>
      <c r="I156" s="6"/>
      <c r="J156" s="6"/>
      <c r="K156" s="46"/>
      <c r="L156" s="12"/>
    </row>
    <row r="157" spans="1:12" ht="15" thickBot="1">
      <c r="A157" s="47"/>
      <c r="B157" s="32"/>
      <c r="C157" s="32"/>
      <c r="D157" s="48"/>
      <c r="E157" s="32"/>
      <c r="F157" s="125"/>
      <c r="G157" s="125"/>
      <c r="H157" s="126"/>
      <c r="I157" s="126"/>
      <c r="J157" s="126"/>
      <c r="K157" s="33"/>
      <c r="L157" s="12"/>
    </row>
    <row r="158" spans="1:12" ht="43.15">
      <c r="A158" s="34" t="s">
        <v>114</v>
      </c>
      <c r="B158" s="127"/>
      <c r="C158" s="128" t="s">
        <v>337</v>
      </c>
      <c r="D158" s="128" t="s">
        <v>338</v>
      </c>
      <c r="E158" s="127" t="s">
        <v>339</v>
      </c>
      <c r="F158" s="128" t="s">
        <v>267</v>
      </c>
      <c r="G158" s="128" t="s">
        <v>340</v>
      </c>
      <c r="H158" s="128" t="s">
        <v>341</v>
      </c>
      <c r="I158" s="128" t="s">
        <v>342</v>
      </c>
      <c r="J158" s="128" t="s">
        <v>343</v>
      </c>
      <c r="K158" s="129" t="s">
        <v>344</v>
      </c>
      <c r="L158" s="12"/>
    </row>
    <row r="159" spans="1:12">
      <c r="A159" s="45" t="s">
        <v>442</v>
      </c>
      <c r="B159" s="135">
        <f>IF(Inputs!B67="Quoted Aging Room Storage",CONVERT(Inputs!D67,"l","gal"),0)</f>
        <v>0</v>
      </c>
      <c r="C159" s="134"/>
      <c r="D159" s="134"/>
      <c r="E159" s="116">
        <f>IF(A159=Inputs!B67,Inputs!C67,0)</f>
        <v>0</v>
      </c>
      <c r="F159" s="80">
        <f>IF(B159=0,0,($B$14/(B159*(24))))</f>
        <v>0</v>
      </c>
      <c r="G159" s="80">
        <f>IF((F159)=0,0,(1-F159))</f>
        <v>0</v>
      </c>
      <c r="H159" s="6">
        <f t="shared" ref="H159" si="109">((24*B159)*(G159))*8.6</f>
        <v>0</v>
      </c>
      <c r="I159" s="6">
        <f t="shared" ref="I159" si="110">H159/$B$2</f>
        <v>0</v>
      </c>
      <c r="J159" s="6">
        <f t="shared" ref="J159" si="111">H159/$B$3</f>
        <v>0</v>
      </c>
      <c r="K159" s="120">
        <f t="shared" ref="K159" si="112">D159</f>
        <v>0</v>
      </c>
      <c r="L159" s="12">
        <f t="shared" ref="L159" si="113">B159*24*8.6</f>
        <v>0</v>
      </c>
    </row>
    <row r="160" spans="1:12">
      <c r="A160" s="45" t="s">
        <v>115</v>
      </c>
      <c r="B160" s="12"/>
      <c r="C160" s="123"/>
      <c r="D160" s="123"/>
      <c r="E160" s="116">
        <v>1769.27</v>
      </c>
      <c r="F160" s="80"/>
      <c r="G160" s="80"/>
      <c r="H160" s="6"/>
      <c r="I160" s="6"/>
      <c r="J160" s="6"/>
      <c r="K160" s="120"/>
      <c r="L160" s="12"/>
    </row>
    <row r="161" spans="1:12">
      <c r="A161" s="45" t="s">
        <v>117</v>
      </c>
      <c r="D161" s="12"/>
      <c r="F161" s="118"/>
      <c r="G161" s="118"/>
      <c r="H161" s="6"/>
      <c r="I161" s="6"/>
      <c r="J161" s="6"/>
      <c r="K161" s="46"/>
      <c r="L161" s="12"/>
    </row>
    <row r="162" spans="1:12" ht="15" thickBot="1">
      <c r="A162" s="47"/>
      <c r="B162" s="32"/>
      <c r="C162" s="32"/>
      <c r="D162" s="48"/>
      <c r="E162" s="32"/>
      <c r="F162" s="125"/>
      <c r="G162" s="125"/>
      <c r="H162" s="126"/>
      <c r="I162" s="126"/>
      <c r="J162" s="126"/>
      <c r="K162" s="33"/>
      <c r="L162" s="12"/>
    </row>
    <row r="164" spans="1:12">
      <c r="A164" s="17"/>
    </row>
    <row r="165" spans="1:12">
      <c r="A165" s="17"/>
    </row>
  </sheetData>
  <conditionalFormatting sqref="D22:D55">
    <cfRule type="cellIs" dxfId="9" priority="14" operator="greaterThan">
      <formula>6</formula>
    </cfRule>
  </conditionalFormatting>
  <conditionalFormatting sqref="D43:D53 K43:K53 D22:D41 K22:K39">
    <cfRule type="cellIs" dxfId="8" priority="18" operator="greaterThan">
      <formula>0.3333</formula>
    </cfRule>
  </conditionalFormatting>
  <conditionalFormatting sqref="D57:D67">
    <cfRule type="cellIs" dxfId="7" priority="11" operator="greaterThan">
      <formula>6</formula>
    </cfRule>
  </conditionalFormatting>
  <conditionalFormatting sqref="D57:D67">
    <cfRule type="cellIs" dxfId="6" priority="12" operator="greaterThan">
      <formula>0.3333</formula>
    </cfRule>
  </conditionalFormatting>
  <conditionalFormatting sqref="D73:D84">
    <cfRule type="cellIs" dxfId="5" priority="9" operator="greaterThan">
      <formula>6</formula>
    </cfRule>
  </conditionalFormatting>
  <conditionalFormatting sqref="D73:D84">
    <cfRule type="cellIs" dxfId="4" priority="10" operator="greaterThan">
      <formula>0.3333</formula>
    </cfRule>
  </conditionalFormatting>
  <conditionalFormatting sqref="D68">
    <cfRule type="cellIs" dxfId="3" priority="3" operator="greaterThan">
      <formula>6</formula>
    </cfRule>
  </conditionalFormatting>
  <conditionalFormatting sqref="D68">
    <cfRule type="cellIs" dxfId="2" priority="4" operator="greaterThan">
      <formula>0.3333</formula>
    </cfRule>
  </conditionalFormatting>
  <conditionalFormatting sqref="D85">
    <cfRule type="cellIs" dxfId="1" priority="1" operator="greaterThan">
      <formula>6</formula>
    </cfRule>
  </conditionalFormatting>
  <conditionalFormatting sqref="D85">
    <cfRule type="cellIs" dxfId="0" priority="2" operator="greaterThan">
      <formula>0.3333</formula>
    </cfRule>
  </conditionalFormatting>
  <printOptions headings="1" gridLines="1"/>
  <pageMargins left="0.25" right="0.25" top="0.75" bottom="0.75" header="0.3" footer="0.3"/>
  <pageSetup scale="19"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7B7E86-376C-4B7D-9457-52ACDEE0B7A8}">
  <sheetPr codeName="Sheet5"/>
  <dimension ref="A1:AE359"/>
  <sheetViews>
    <sheetView topLeftCell="A34" zoomScale="67" zoomScaleNormal="100" workbookViewId="0">
      <selection activeCell="D14" sqref="D14"/>
    </sheetView>
  </sheetViews>
  <sheetFormatPr defaultRowHeight="14.45"/>
  <cols>
    <col min="1" max="1" width="151.140625" bestFit="1" customWidth="1"/>
    <col min="2" max="2" width="25.28515625" bestFit="1" customWidth="1"/>
    <col min="3" max="3" width="20" bestFit="1" customWidth="1"/>
    <col min="4" max="4" width="31" bestFit="1" customWidth="1"/>
    <col min="5" max="5" width="51.5703125" bestFit="1" customWidth="1"/>
    <col min="6" max="6" width="58.140625" bestFit="1" customWidth="1"/>
    <col min="7" max="7" width="28.85546875" bestFit="1" customWidth="1"/>
    <col min="8" max="8" width="24.7109375" bestFit="1" customWidth="1"/>
    <col min="9" max="9" width="41.5703125" bestFit="1" customWidth="1"/>
    <col min="10" max="10" width="17.140625" bestFit="1" customWidth="1"/>
    <col min="11" max="11" width="17.5703125" bestFit="1" customWidth="1"/>
    <col min="12" max="13" width="17.140625" bestFit="1" customWidth="1"/>
    <col min="14" max="14" width="17.5703125" bestFit="1" customWidth="1"/>
    <col min="15" max="15" width="17.140625" bestFit="1" customWidth="1"/>
    <col min="16" max="16" width="17.5703125" bestFit="1" customWidth="1"/>
    <col min="17" max="17" width="17.140625" bestFit="1" customWidth="1"/>
    <col min="18" max="21" width="17.5703125" bestFit="1" customWidth="1"/>
    <col min="22" max="22" width="17.140625" bestFit="1" customWidth="1"/>
    <col min="23" max="23" width="17.5703125" bestFit="1" customWidth="1"/>
    <col min="24" max="27" width="17.140625" bestFit="1" customWidth="1"/>
  </cols>
  <sheetData>
    <row r="1" spans="1:27">
      <c r="A1" t="s">
        <v>443</v>
      </c>
      <c r="B1" s="51">
        <f>'Suggested Equipment'!B30+'Suggested Equipment'!B31</f>
        <v>897044.04</v>
      </c>
      <c r="G1" t="s">
        <v>444</v>
      </c>
      <c r="H1" t="s">
        <v>445</v>
      </c>
      <c r="I1" t="s">
        <v>446</v>
      </c>
      <c r="J1" t="s">
        <v>447</v>
      </c>
      <c r="K1" t="s">
        <v>448</v>
      </c>
      <c r="L1" t="s">
        <v>449</v>
      </c>
      <c r="M1" t="s">
        <v>450</v>
      </c>
      <c r="N1" t="s">
        <v>451</v>
      </c>
      <c r="O1" t="s">
        <v>452</v>
      </c>
      <c r="P1" t="s">
        <v>453</v>
      </c>
      <c r="Q1" t="s">
        <v>454</v>
      </c>
      <c r="R1" t="s">
        <v>455</v>
      </c>
      <c r="S1" t="s">
        <v>456</v>
      </c>
      <c r="T1" t="s">
        <v>457</v>
      </c>
      <c r="U1" t="s">
        <v>458</v>
      </c>
      <c r="V1" t="s">
        <v>459</v>
      </c>
      <c r="W1" t="s">
        <v>460</v>
      </c>
      <c r="X1" t="s">
        <v>461</v>
      </c>
      <c r="Y1" t="s">
        <v>462</v>
      </c>
      <c r="Z1" t="s">
        <v>463</v>
      </c>
      <c r="AA1" t="s">
        <v>464</v>
      </c>
    </row>
    <row r="2" spans="1:27">
      <c r="B2" s="24"/>
      <c r="D2" s="1"/>
      <c r="F2" s="5" t="s">
        <v>465</v>
      </c>
    </row>
    <row r="3" spans="1:27">
      <c r="A3" t="s">
        <v>466</v>
      </c>
      <c r="B3" s="24" cm="1">
        <f t="array" ref="B3">_xlfn.IFS(Inputs!D43&gt;0,Inputs!D43,Inputs!D43=0,Inputs!B41*Inputs!B42+Inputs!B44)</f>
        <v>150000</v>
      </c>
      <c r="F3" t="s">
        <v>467</v>
      </c>
      <c r="H3" s="1">
        <f>Equipment!B13</f>
        <v>288525.7820543432</v>
      </c>
      <c r="I3" s="1">
        <f t="shared" ref="I3:AA3" si="0">H3</f>
        <v>288525.7820543432</v>
      </c>
      <c r="J3" s="1">
        <f t="shared" si="0"/>
        <v>288525.7820543432</v>
      </c>
      <c r="K3" s="1">
        <f t="shared" si="0"/>
        <v>288525.7820543432</v>
      </c>
      <c r="L3" s="1">
        <f t="shared" si="0"/>
        <v>288525.7820543432</v>
      </c>
      <c r="M3" s="1">
        <f t="shared" si="0"/>
        <v>288525.7820543432</v>
      </c>
      <c r="N3" s="1">
        <f t="shared" si="0"/>
        <v>288525.7820543432</v>
      </c>
      <c r="O3" s="1">
        <f t="shared" si="0"/>
        <v>288525.7820543432</v>
      </c>
      <c r="P3" s="1">
        <f t="shared" si="0"/>
        <v>288525.7820543432</v>
      </c>
      <c r="Q3" s="1">
        <f t="shared" si="0"/>
        <v>288525.7820543432</v>
      </c>
      <c r="R3" s="1">
        <f t="shared" si="0"/>
        <v>288525.7820543432</v>
      </c>
      <c r="S3" s="1">
        <f t="shared" si="0"/>
        <v>288525.7820543432</v>
      </c>
      <c r="T3" s="1">
        <f t="shared" si="0"/>
        <v>288525.7820543432</v>
      </c>
      <c r="U3" s="1">
        <f t="shared" si="0"/>
        <v>288525.7820543432</v>
      </c>
      <c r="V3" s="1">
        <f t="shared" si="0"/>
        <v>288525.7820543432</v>
      </c>
      <c r="W3" s="1">
        <f t="shared" si="0"/>
        <v>288525.7820543432</v>
      </c>
      <c r="X3" s="1">
        <f t="shared" si="0"/>
        <v>288525.7820543432</v>
      </c>
      <c r="Y3" s="1">
        <f t="shared" si="0"/>
        <v>288525.7820543432</v>
      </c>
      <c r="Z3" s="1">
        <f t="shared" si="0"/>
        <v>288525.7820543432</v>
      </c>
      <c r="AA3" s="1">
        <f t="shared" si="0"/>
        <v>288525.7820543432</v>
      </c>
    </row>
    <row r="4" spans="1:27">
      <c r="F4" t="s">
        <v>468</v>
      </c>
      <c r="H4" s="52">
        <f t="shared" ref="H4:AA4" si="1">HLOOKUP(H1,$C$88:$V$89,2,FALSE)</f>
        <v>868462.60398357292</v>
      </c>
      <c r="I4" s="52">
        <f t="shared" si="1"/>
        <v>1736925.2079671458</v>
      </c>
      <c r="J4" s="52">
        <f t="shared" si="1"/>
        <v>2605387.811950719</v>
      </c>
      <c r="K4" s="52">
        <f t="shared" si="1"/>
        <v>2605387.811950719</v>
      </c>
      <c r="L4" s="52">
        <f t="shared" si="1"/>
        <v>2605387.811950719</v>
      </c>
      <c r="M4" s="52">
        <f t="shared" si="1"/>
        <v>2605387.811950719</v>
      </c>
      <c r="N4" s="52">
        <f t="shared" si="1"/>
        <v>2605387.811950719</v>
      </c>
      <c r="O4" s="52">
        <f t="shared" si="1"/>
        <v>2605387.811950719</v>
      </c>
      <c r="P4" s="52">
        <f t="shared" si="1"/>
        <v>2605387.811950719</v>
      </c>
      <c r="Q4" s="52">
        <f t="shared" si="1"/>
        <v>2605387.811950719</v>
      </c>
      <c r="R4" s="52">
        <f t="shared" si="1"/>
        <v>2605387.811950719</v>
      </c>
      <c r="S4" s="52">
        <f t="shared" si="1"/>
        <v>2605387.811950719</v>
      </c>
      <c r="T4" s="52">
        <f t="shared" si="1"/>
        <v>2605387.811950719</v>
      </c>
      <c r="U4" s="52">
        <f t="shared" si="1"/>
        <v>2605387.811950719</v>
      </c>
      <c r="V4" s="52">
        <f t="shared" si="1"/>
        <v>2605387.811950719</v>
      </c>
      <c r="W4" s="52">
        <f t="shared" si="1"/>
        <v>2605387.811950719</v>
      </c>
      <c r="X4" s="52">
        <f t="shared" si="1"/>
        <v>2605387.811950719</v>
      </c>
      <c r="Y4" s="52">
        <f t="shared" si="1"/>
        <v>2605387.811950719</v>
      </c>
      <c r="Z4" s="52">
        <f t="shared" si="1"/>
        <v>2605387.811950719</v>
      </c>
      <c r="AA4" s="52">
        <f t="shared" si="1"/>
        <v>2605387.811950719</v>
      </c>
    </row>
    <row r="5" spans="1:27">
      <c r="A5" t="s">
        <v>469</v>
      </c>
      <c r="B5" s="24">
        <f>B1+B3</f>
        <v>1047044.04</v>
      </c>
      <c r="F5" t="s">
        <v>470</v>
      </c>
      <c r="H5" s="24"/>
      <c r="I5" s="24"/>
      <c r="J5" s="24"/>
      <c r="K5" s="24"/>
      <c r="L5" s="24"/>
      <c r="M5" s="24"/>
      <c r="N5" s="24"/>
      <c r="O5" s="24"/>
      <c r="P5" s="24"/>
      <c r="Q5" s="24"/>
      <c r="R5" s="24"/>
      <c r="S5" s="24"/>
      <c r="T5" s="24"/>
      <c r="U5" s="24"/>
      <c r="V5" s="24"/>
      <c r="W5" s="24"/>
      <c r="X5" s="24"/>
      <c r="Y5" s="24"/>
      <c r="Z5" s="24"/>
      <c r="AA5" s="24"/>
    </row>
    <row r="6" spans="1:27">
      <c r="B6" s="24"/>
      <c r="F6" t="s">
        <v>471</v>
      </c>
      <c r="H6" s="24">
        <f>M39</f>
        <v>984212.04255104717</v>
      </c>
      <c r="I6" s="24">
        <f>N39</f>
        <v>792075.0302602055</v>
      </c>
      <c r="J6" s="24">
        <f>O39</f>
        <v>599938.01796936349</v>
      </c>
      <c r="K6" s="24">
        <f>$J$6</f>
        <v>599938.01796936349</v>
      </c>
      <c r="L6" s="24">
        <f t="shared" ref="L6:AA6" si="2">$J$6</f>
        <v>599938.01796936349</v>
      </c>
      <c r="M6" s="24">
        <f t="shared" si="2"/>
        <v>599938.01796936349</v>
      </c>
      <c r="N6" s="24">
        <f t="shared" si="2"/>
        <v>599938.01796936349</v>
      </c>
      <c r="O6" s="24">
        <f t="shared" si="2"/>
        <v>599938.01796936349</v>
      </c>
      <c r="P6" s="24">
        <f t="shared" si="2"/>
        <v>599938.01796936349</v>
      </c>
      <c r="Q6" s="24">
        <f t="shared" si="2"/>
        <v>599938.01796936349</v>
      </c>
      <c r="R6" s="24">
        <f t="shared" si="2"/>
        <v>599938.01796936349</v>
      </c>
      <c r="S6" s="24">
        <f t="shared" si="2"/>
        <v>599938.01796936349</v>
      </c>
      <c r="T6" s="24">
        <f t="shared" si="2"/>
        <v>599938.01796936349</v>
      </c>
      <c r="U6" s="24">
        <f t="shared" si="2"/>
        <v>599938.01796936349</v>
      </c>
      <c r="V6" s="24">
        <f t="shared" si="2"/>
        <v>599938.01796936349</v>
      </c>
      <c r="W6" s="24">
        <f t="shared" si="2"/>
        <v>599938.01796936349</v>
      </c>
      <c r="X6" s="24">
        <f t="shared" si="2"/>
        <v>599938.01796936349</v>
      </c>
      <c r="Y6" s="24">
        <f t="shared" si="2"/>
        <v>599938.01796936349</v>
      </c>
      <c r="Z6" s="24">
        <f t="shared" si="2"/>
        <v>599938.01796936349</v>
      </c>
      <c r="AA6" s="24">
        <f t="shared" si="2"/>
        <v>599938.01796936349</v>
      </c>
    </row>
    <row r="7" spans="1:27">
      <c r="A7" t="s">
        <v>472</v>
      </c>
      <c r="B7" s="2">
        <v>0.1</v>
      </c>
      <c r="F7" t="s">
        <v>473</v>
      </c>
      <c r="H7" s="24">
        <f>-(H4*$B$39)</f>
        <v>-106898.19346173402</v>
      </c>
      <c r="I7" s="24">
        <f t="shared" ref="I7:AA7" si="3">-(I4*$B$39)</f>
        <v>-213796.38692346803</v>
      </c>
      <c r="J7" s="24">
        <f t="shared" si="3"/>
        <v>-320694.58038520208</v>
      </c>
      <c r="K7" s="24">
        <f t="shared" si="3"/>
        <v>-320694.58038520208</v>
      </c>
      <c r="L7" s="24">
        <f t="shared" si="3"/>
        <v>-320694.58038520208</v>
      </c>
      <c r="M7" s="24">
        <f t="shared" si="3"/>
        <v>-320694.58038520208</v>
      </c>
      <c r="N7" s="24">
        <f t="shared" si="3"/>
        <v>-320694.58038520208</v>
      </c>
      <c r="O7" s="24">
        <f t="shared" si="3"/>
        <v>-320694.58038520208</v>
      </c>
      <c r="P7" s="24">
        <f t="shared" si="3"/>
        <v>-320694.58038520208</v>
      </c>
      <c r="Q7" s="24">
        <f t="shared" si="3"/>
        <v>-320694.58038520208</v>
      </c>
      <c r="R7" s="24">
        <f t="shared" si="3"/>
        <v>-320694.58038520208</v>
      </c>
      <c r="S7" s="24">
        <f t="shared" si="3"/>
        <v>-320694.58038520208</v>
      </c>
      <c r="T7" s="24">
        <f t="shared" si="3"/>
        <v>-320694.58038520208</v>
      </c>
      <c r="U7" s="24">
        <f t="shared" si="3"/>
        <v>-320694.58038520208</v>
      </c>
      <c r="V7" s="24">
        <f t="shared" si="3"/>
        <v>-320694.58038520208</v>
      </c>
      <c r="W7" s="24">
        <f t="shared" si="3"/>
        <v>-320694.58038520208</v>
      </c>
      <c r="X7" s="24">
        <f t="shared" si="3"/>
        <v>-320694.58038520208</v>
      </c>
      <c r="Y7" s="24">
        <f t="shared" si="3"/>
        <v>-320694.58038520208</v>
      </c>
      <c r="Z7" s="24">
        <f t="shared" si="3"/>
        <v>-320694.58038520208</v>
      </c>
      <c r="AA7" s="24">
        <f t="shared" si="3"/>
        <v>-320694.58038520208</v>
      </c>
    </row>
    <row r="8" spans="1:27">
      <c r="A8" t="s">
        <v>474</v>
      </c>
      <c r="B8" s="2">
        <v>0.05</v>
      </c>
      <c r="F8" s="26" t="s">
        <v>475</v>
      </c>
      <c r="H8" s="43">
        <f t="shared" ref="H8:AA8" si="4">SUM(H4:H7)</f>
        <v>1745776.453072886</v>
      </c>
      <c r="I8" s="24">
        <f t="shared" si="4"/>
        <v>2315203.8513038834</v>
      </c>
      <c r="J8" s="24">
        <f t="shared" si="4"/>
        <v>2884631.2495348803</v>
      </c>
      <c r="K8" s="24">
        <f t="shared" si="4"/>
        <v>2884631.2495348803</v>
      </c>
      <c r="L8" s="24">
        <f t="shared" si="4"/>
        <v>2884631.2495348803</v>
      </c>
      <c r="M8" s="24">
        <f t="shared" si="4"/>
        <v>2884631.2495348803</v>
      </c>
      <c r="N8" s="24">
        <f t="shared" si="4"/>
        <v>2884631.2495348803</v>
      </c>
      <c r="O8" s="24">
        <f t="shared" si="4"/>
        <v>2884631.2495348803</v>
      </c>
      <c r="P8" s="24">
        <f t="shared" si="4"/>
        <v>2884631.2495348803</v>
      </c>
      <c r="Q8" s="24">
        <f t="shared" si="4"/>
        <v>2884631.2495348803</v>
      </c>
      <c r="R8" s="24">
        <f t="shared" si="4"/>
        <v>2884631.2495348803</v>
      </c>
      <c r="S8" s="24">
        <f t="shared" si="4"/>
        <v>2884631.2495348803</v>
      </c>
      <c r="T8" s="24">
        <f t="shared" si="4"/>
        <v>2884631.2495348803</v>
      </c>
      <c r="U8" s="24">
        <f t="shared" si="4"/>
        <v>2884631.2495348803</v>
      </c>
      <c r="V8" s="24">
        <f t="shared" si="4"/>
        <v>2884631.2495348803</v>
      </c>
      <c r="W8" s="24">
        <f t="shared" si="4"/>
        <v>2884631.2495348803</v>
      </c>
      <c r="X8" s="24">
        <f t="shared" si="4"/>
        <v>2884631.2495348803</v>
      </c>
      <c r="Y8" s="24">
        <f t="shared" si="4"/>
        <v>2884631.2495348803</v>
      </c>
      <c r="Z8" s="24">
        <f t="shared" si="4"/>
        <v>2884631.2495348803</v>
      </c>
      <c r="AA8" s="24">
        <f t="shared" si="4"/>
        <v>2884631.2495348803</v>
      </c>
    </row>
    <row r="9" spans="1:27">
      <c r="F9" s="5" t="s">
        <v>476</v>
      </c>
      <c r="I9" s="1"/>
      <c r="J9" s="1"/>
      <c r="K9" s="1"/>
      <c r="L9" s="1"/>
      <c r="M9" s="1"/>
      <c r="N9" s="1"/>
      <c r="O9" s="1"/>
      <c r="P9" s="1"/>
      <c r="Q9" s="1"/>
      <c r="R9" s="1"/>
      <c r="S9" s="1"/>
      <c r="T9" s="1"/>
      <c r="U9" s="1"/>
      <c r="V9" s="1"/>
      <c r="W9" s="1"/>
      <c r="X9" s="1"/>
      <c r="Y9" s="1"/>
      <c r="Z9" s="1"/>
      <c r="AA9" s="1"/>
    </row>
    <row r="10" spans="1:27">
      <c r="E10" t="s">
        <v>477</v>
      </c>
      <c r="F10" t="s">
        <v>478</v>
      </c>
      <c r="H10" s="52">
        <f>M40</f>
        <v>192137.01229084187</v>
      </c>
      <c r="I10" s="52">
        <f>N40</f>
        <v>384274.02458168374</v>
      </c>
      <c r="J10" s="52">
        <f>O40</f>
        <v>576411.0368725257</v>
      </c>
      <c r="K10" s="52">
        <f>$J$10</f>
        <v>576411.0368725257</v>
      </c>
      <c r="L10" s="52">
        <f t="shared" ref="L10:AA10" si="5">$J$10</f>
        <v>576411.0368725257</v>
      </c>
      <c r="M10" s="52">
        <f t="shared" si="5"/>
        <v>576411.0368725257</v>
      </c>
      <c r="N10" s="52">
        <f t="shared" si="5"/>
        <v>576411.0368725257</v>
      </c>
      <c r="O10" s="52">
        <f t="shared" si="5"/>
        <v>576411.0368725257</v>
      </c>
      <c r="P10" s="52">
        <f t="shared" si="5"/>
        <v>576411.0368725257</v>
      </c>
      <c r="Q10" s="52">
        <f t="shared" si="5"/>
        <v>576411.0368725257</v>
      </c>
      <c r="R10" s="52">
        <f t="shared" si="5"/>
        <v>576411.0368725257</v>
      </c>
      <c r="S10" s="52">
        <f t="shared" si="5"/>
        <v>576411.0368725257</v>
      </c>
      <c r="T10" s="52">
        <f t="shared" si="5"/>
        <v>576411.0368725257</v>
      </c>
      <c r="U10" s="52">
        <f t="shared" si="5"/>
        <v>576411.0368725257</v>
      </c>
      <c r="V10" s="52">
        <f t="shared" si="5"/>
        <v>576411.0368725257</v>
      </c>
      <c r="W10" s="52">
        <f t="shared" si="5"/>
        <v>576411.0368725257</v>
      </c>
      <c r="X10" s="52">
        <f t="shared" si="5"/>
        <v>576411.0368725257</v>
      </c>
      <c r="Y10" s="52">
        <f t="shared" si="5"/>
        <v>576411.0368725257</v>
      </c>
      <c r="Z10" s="52">
        <f t="shared" si="5"/>
        <v>576411.0368725257</v>
      </c>
      <c r="AA10" s="52">
        <f t="shared" si="5"/>
        <v>576411.0368725257</v>
      </c>
    </row>
    <row r="11" spans="1:27">
      <c r="F11" t="s">
        <v>479</v>
      </c>
      <c r="H11" s="24">
        <f>B17</f>
        <v>83959.350426016579</v>
      </c>
      <c r="I11" s="1">
        <f t="shared" ref="I11:AA11" si="6">H11</f>
        <v>83959.350426016579</v>
      </c>
      <c r="J11" s="1">
        <f t="shared" si="6"/>
        <v>83959.350426016579</v>
      </c>
      <c r="K11" s="1">
        <f t="shared" si="6"/>
        <v>83959.350426016579</v>
      </c>
      <c r="L11" s="1">
        <f t="shared" si="6"/>
        <v>83959.350426016579</v>
      </c>
      <c r="M11" s="1">
        <f t="shared" si="6"/>
        <v>83959.350426016579</v>
      </c>
      <c r="N11" s="1">
        <f t="shared" si="6"/>
        <v>83959.350426016579</v>
      </c>
      <c r="O11" s="1">
        <f t="shared" si="6"/>
        <v>83959.350426016579</v>
      </c>
      <c r="P11" s="1">
        <f t="shared" si="6"/>
        <v>83959.350426016579</v>
      </c>
      <c r="Q11" s="1">
        <f t="shared" si="6"/>
        <v>83959.350426016579</v>
      </c>
      <c r="R11" s="1">
        <f t="shared" si="6"/>
        <v>83959.350426016579</v>
      </c>
      <c r="S11" s="1">
        <f t="shared" si="6"/>
        <v>83959.350426016579</v>
      </c>
      <c r="T11" s="1">
        <f t="shared" si="6"/>
        <v>83959.350426016579</v>
      </c>
      <c r="U11" s="1">
        <f t="shared" si="6"/>
        <v>83959.350426016579</v>
      </c>
      <c r="V11" s="1">
        <f t="shared" si="6"/>
        <v>83959.350426016579</v>
      </c>
      <c r="W11" s="1">
        <f t="shared" si="6"/>
        <v>83959.350426016579</v>
      </c>
      <c r="X11" s="1">
        <f t="shared" si="6"/>
        <v>83959.350426016579</v>
      </c>
      <c r="Y11" s="1">
        <f t="shared" si="6"/>
        <v>83959.350426016579</v>
      </c>
      <c r="Z11" s="1">
        <f t="shared" si="6"/>
        <v>83959.350426016579</v>
      </c>
      <c r="AA11" s="1">
        <f t="shared" si="6"/>
        <v>83959.350426016579</v>
      </c>
    </row>
    <row r="12" spans="1:27">
      <c r="A12" t="s">
        <v>480</v>
      </c>
      <c r="F12" t="s">
        <v>481</v>
      </c>
      <c r="H12" s="24">
        <f t="shared" ref="H12:J13" si="7">M41</f>
        <v>42265.180060533879</v>
      </c>
      <c r="I12" s="24">
        <f t="shared" si="7"/>
        <v>84530.360121067759</v>
      </c>
      <c r="J12" s="24">
        <f t="shared" si="7"/>
        <v>126795.54018160167</v>
      </c>
      <c r="K12" s="24">
        <f>$J$12</f>
        <v>126795.54018160167</v>
      </c>
      <c r="L12" s="24">
        <f t="shared" ref="L12:AA12" si="8">$J$12</f>
        <v>126795.54018160167</v>
      </c>
      <c r="M12" s="24">
        <f t="shared" si="8"/>
        <v>126795.54018160167</v>
      </c>
      <c r="N12" s="24">
        <f t="shared" si="8"/>
        <v>126795.54018160167</v>
      </c>
      <c r="O12" s="24">
        <f t="shared" si="8"/>
        <v>126795.54018160167</v>
      </c>
      <c r="P12" s="24">
        <f t="shared" si="8"/>
        <v>126795.54018160167</v>
      </c>
      <c r="Q12" s="24">
        <f t="shared" si="8"/>
        <v>126795.54018160167</v>
      </c>
      <c r="R12" s="24">
        <f t="shared" si="8"/>
        <v>126795.54018160167</v>
      </c>
      <c r="S12" s="24">
        <f t="shared" si="8"/>
        <v>126795.54018160167</v>
      </c>
      <c r="T12" s="24">
        <f t="shared" si="8"/>
        <v>126795.54018160167</v>
      </c>
      <c r="U12" s="24">
        <f t="shared" si="8"/>
        <v>126795.54018160167</v>
      </c>
      <c r="V12" s="24">
        <f t="shared" si="8"/>
        <v>126795.54018160167</v>
      </c>
      <c r="W12" s="24">
        <f t="shared" si="8"/>
        <v>126795.54018160167</v>
      </c>
      <c r="X12" s="24">
        <f t="shared" si="8"/>
        <v>126795.54018160167</v>
      </c>
      <c r="Y12" s="24">
        <f t="shared" si="8"/>
        <v>126795.54018160167</v>
      </c>
      <c r="Z12" s="24">
        <f t="shared" si="8"/>
        <v>126795.54018160167</v>
      </c>
      <c r="AA12" s="24">
        <f t="shared" si="8"/>
        <v>126795.54018160167</v>
      </c>
    </row>
    <row r="13" spans="1:27">
      <c r="C13" t="s">
        <v>482</v>
      </c>
      <c r="D13" s="1">
        <f>Equipment!D11/100</f>
        <v>50639.218891170436</v>
      </c>
      <c r="F13" t="s">
        <v>483</v>
      </c>
      <c r="H13" s="24">
        <f t="shared" si="7"/>
        <v>43588.551647556465</v>
      </c>
      <c r="I13" s="24">
        <f t="shared" si="7"/>
        <v>87177.103295112931</v>
      </c>
      <c r="J13" s="24">
        <f t="shared" si="7"/>
        <v>130765.65494266941</v>
      </c>
      <c r="K13" s="24">
        <f>$J$13</f>
        <v>130765.65494266941</v>
      </c>
      <c r="L13" s="24">
        <f t="shared" ref="L13:AA13" si="9">$J$13</f>
        <v>130765.65494266941</v>
      </c>
      <c r="M13" s="24">
        <f t="shared" si="9"/>
        <v>130765.65494266941</v>
      </c>
      <c r="N13" s="24">
        <f t="shared" si="9"/>
        <v>130765.65494266941</v>
      </c>
      <c r="O13" s="24">
        <f t="shared" si="9"/>
        <v>130765.65494266941</v>
      </c>
      <c r="P13" s="24">
        <f t="shared" si="9"/>
        <v>130765.65494266941</v>
      </c>
      <c r="Q13" s="24">
        <f t="shared" si="9"/>
        <v>130765.65494266941</v>
      </c>
      <c r="R13" s="24">
        <f t="shared" si="9"/>
        <v>130765.65494266941</v>
      </c>
      <c r="S13" s="24">
        <f t="shared" si="9"/>
        <v>130765.65494266941</v>
      </c>
      <c r="T13" s="24">
        <f t="shared" si="9"/>
        <v>130765.65494266941</v>
      </c>
      <c r="U13" s="24">
        <f t="shared" si="9"/>
        <v>130765.65494266941</v>
      </c>
      <c r="V13" s="24">
        <f t="shared" si="9"/>
        <v>130765.65494266941</v>
      </c>
      <c r="W13" s="24">
        <f t="shared" si="9"/>
        <v>130765.65494266941</v>
      </c>
      <c r="X13" s="24">
        <f t="shared" si="9"/>
        <v>130765.65494266941</v>
      </c>
      <c r="Y13" s="24">
        <f t="shared" si="9"/>
        <v>130765.65494266941</v>
      </c>
      <c r="Z13" s="24">
        <f t="shared" si="9"/>
        <v>130765.65494266941</v>
      </c>
      <c r="AA13" s="24">
        <f t="shared" si="9"/>
        <v>130765.65494266941</v>
      </c>
    </row>
    <row r="14" spans="1:27">
      <c r="C14" t="s">
        <v>484</v>
      </c>
      <c r="D14" s="1">
        <f>Equipment!B11/100</f>
        <v>24813.217256673513</v>
      </c>
      <c r="F14" t="s">
        <v>485</v>
      </c>
      <c r="H14" s="24">
        <f>D13*B26</f>
        <v>1300415.1411252569</v>
      </c>
      <c r="I14" s="1">
        <f t="shared" ref="I14:AA14" si="10">H14</f>
        <v>1300415.1411252569</v>
      </c>
      <c r="J14" s="1">
        <f t="shared" si="10"/>
        <v>1300415.1411252569</v>
      </c>
      <c r="K14" s="1">
        <f t="shared" si="10"/>
        <v>1300415.1411252569</v>
      </c>
      <c r="L14" s="1">
        <f t="shared" si="10"/>
        <v>1300415.1411252569</v>
      </c>
      <c r="M14" s="1">
        <f t="shared" si="10"/>
        <v>1300415.1411252569</v>
      </c>
      <c r="N14" s="1">
        <f t="shared" si="10"/>
        <v>1300415.1411252569</v>
      </c>
      <c r="O14" s="1">
        <f t="shared" si="10"/>
        <v>1300415.1411252569</v>
      </c>
      <c r="P14" s="1">
        <f t="shared" si="10"/>
        <v>1300415.1411252569</v>
      </c>
      <c r="Q14" s="1">
        <f t="shared" si="10"/>
        <v>1300415.1411252569</v>
      </c>
      <c r="R14" s="1">
        <f t="shared" si="10"/>
        <v>1300415.1411252569</v>
      </c>
      <c r="S14" s="1">
        <f t="shared" si="10"/>
        <v>1300415.1411252569</v>
      </c>
      <c r="T14" s="1">
        <f t="shared" si="10"/>
        <v>1300415.1411252569</v>
      </c>
      <c r="U14" s="1">
        <f t="shared" si="10"/>
        <v>1300415.1411252569</v>
      </c>
      <c r="V14" s="1">
        <f t="shared" si="10"/>
        <v>1300415.1411252569</v>
      </c>
      <c r="W14" s="1">
        <f t="shared" si="10"/>
        <v>1300415.1411252569</v>
      </c>
      <c r="X14" s="1">
        <f t="shared" si="10"/>
        <v>1300415.1411252569</v>
      </c>
      <c r="Y14" s="1">
        <f t="shared" si="10"/>
        <v>1300415.1411252569</v>
      </c>
      <c r="Z14" s="1">
        <f t="shared" si="10"/>
        <v>1300415.1411252569</v>
      </c>
      <c r="AA14" s="1">
        <f t="shared" si="10"/>
        <v>1300415.1411252569</v>
      </c>
    </row>
    <row r="15" spans="1:27">
      <c r="A15" t="s">
        <v>92</v>
      </c>
      <c r="B15" s="24">
        <f>Inputs!B46</f>
        <v>5.1100000000000003</v>
      </c>
      <c r="C15" t="s">
        <v>486</v>
      </c>
      <c r="D15" s="1">
        <f>D13-D14</f>
        <v>25826.001634496923</v>
      </c>
      <c r="F15" t="s">
        <v>487</v>
      </c>
      <c r="H15" s="25">
        <v>93670.736851466674</v>
      </c>
      <c r="I15" s="25">
        <v>91734.471451938574</v>
      </c>
      <c r="J15" s="25">
        <v>89633.623493450563</v>
      </c>
      <c r="K15" s="25">
        <v>87354.203458491087</v>
      </c>
      <c r="L15" s="25">
        <v>84881.032720560048</v>
      </c>
      <c r="M15" s="25">
        <v>82197.64246990488</v>
      </c>
      <c r="N15" s="25">
        <v>79286.16404794401</v>
      </c>
      <c r="O15" s="25">
        <v>76127.209960116481</v>
      </c>
      <c r="P15" s="25">
        <v>72699.744774823601</v>
      </c>
      <c r="Q15" s="25">
        <v>68980.945048780821</v>
      </c>
      <c r="R15" s="25">
        <v>64946.047346024417</v>
      </c>
      <c r="S15" s="25">
        <v>60568.183338533716</v>
      </c>
      <c r="T15" s="25">
        <v>55818.200890406297</v>
      </c>
      <c r="U15" s="25">
        <v>50664.469934188055</v>
      </c>
      <c r="V15" s="25">
        <v>45072.671846691257</v>
      </c>
      <c r="W15" s="25">
        <v>39005.570921757237</v>
      </c>
      <c r="X15" s="25">
        <v>32422.766418203824</v>
      </c>
      <c r="Y15" s="25">
        <v>25280.42353184837</v>
      </c>
      <c r="Z15" s="25">
        <v>17530.981500152702</v>
      </c>
      <c r="AA15" s="25">
        <v>9122.8368957629027</v>
      </c>
    </row>
    <row r="16" spans="1:27">
      <c r="A16" t="s">
        <v>488</v>
      </c>
      <c r="B16" s="24">
        <f>Inputs!B47</f>
        <v>5.27</v>
      </c>
      <c r="F16" s="26" t="s">
        <v>489</v>
      </c>
      <c r="H16" s="43">
        <f t="shared" ref="H16:AA16" si="11">SUM(H10:H15)</f>
        <v>1756035.9724016723</v>
      </c>
      <c r="I16" s="43">
        <f t="shared" si="11"/>
        <v>2032090.4510010765</v>
      </c>
      <c r="J16" s="43">
        <f t="shared" si="11"/>
        <v>2307980.3470415212</v>
      </c>
      <c r="K16" s="43">
        <f t="shared" si="11"/>
        <v>2305700.9270065618</v>
      </c>
      <c r="L16" s="43">
        <f t="shared" si="11"/>
        <v>2303227.7562686307</v>
      </c>
      <c r="M16" s="43">
        <f t="shared" si="11"/>
        <v>2300544.3660179754</v>
      </c>
      <c r="N16" s="43">
        <f t="shared" si="11"/>
        <v>2297632.8875960144</v>
      </c>
      <c r="O16" s="43">
        <f t="shared" si="11"/>
        <v>2294473.9335081871</v>
      </c>
      <c r="P16" s="43">
        <f t="shared" si="11"/>
        <v>2291046.4683228941</v>
      </c>
      <c r="Q16" s="43">
        <f t="shared" si="11"/>
        <v>2287327.6685968512</v>
      </c>
      <c r="R16" s="43">
        <f t="shared" si="11"/>
        <v>2283292.7708940948</v>
      </c>
      <c r="S16" s="43">
        <f t="shared" si="11"/>
        <v>2278914.9068866041</v>
      </c>
      <c r="T16" s="43">
        <f t="shared" si="11"/>
        <v>2274164.924438477</v>
      </c>
      <c r="U16" s="43">
        <f t="shared" si="11"/>
        <v>2269011.1934822584</v>
      </c>
      <c r="V16" s="43">
        <f t="shared" si="11"/>
        <v>2263419.3953947616</v>
      </c>
      <c r="W16" s="43">
        <f t="shared" si="11"/>
        <v>2257352.2944698278</v>
      </c>
      <c r="X16" s="43">
        <f t="shared" si="11"/>
        <v>2250769.4899662742</v>
      </c>
      <c r="Y16" s="43">
        <f t="shared" si="11"/>
        <v>2243627.147079919</v>
      </c>
      <c r="Z16" s="43">
        <f t="shared" si="11"/>
        <v>2235877.705048223</v>
      </c>
      <c r="AA16" s="43">
        <f t="shared" si="11"/>
        <v>2227469.5604438335</v>
      </c>
    </row>
    <row r="17" spans="1:27">
      <c r="A17" t="s">
        <v>490</v>
      </c>
      <c r="B17" s="24">
        <f>(D14/Inputs!B37)*Inputs!B36*(Inputs!B35*1.3)</f>
        <v>83959.350426016579</v>
      </c>
      <c r="C17" s="53" t="s">
        <v>491</v>
      </c>
      <c r="D17" s="54">
        <f>Equipment!D11</f>
        <v>5063921.8891170435</v>
      </c>
      <c r="F17" t="s">
        <v>492</v>
      </c>
      <c r="H17" s="24">
        <f t="shared" ref="H17:AA17" si="12">$B$22</f>
        <v>1176349.0548418893</v>
      </c>
      <c r="I17" s="24">
        <f t="shared" si="12"/>
        <v>1176349.0548418893</v>
      </c>
      <c r="J17" s="24">
        <f t="shared" si="12"/>
        <v>1176349.0548418893</v>
      </c>
      <c r="K17" s="24">
        <f t="shared" si="12"/>
        <v>1176349.0548418893</v>
      </c>
      <c r="L17" s="24">
        <f t="shared" si="12"/>
        <v>1176349.0548418893</v>
      </c>
      <c r="M17" s="24">
        <f t="shared" si="12"/>
        <v>1176349.0548418893</v>
      </c>
      <c r="N17" s="24">
        <f t="shared" si="12"/>
        <v>1176349.0548418893</v>
      </c>
      <c r="O17" s="24">
        <f t="shared" si="12"/>
        <v>1176349.0548418893</v>
      </c>
      <c r="P17" s="24">
        <f t="shared" si="12"/>
        <v>1176349.0548418893</v>
      </c>
      <c r="Q17" s="24">
        <f t="shared" si="12"/>
        <v>1176349.0548418893</v>
      </c>
      <c r="R17" s="24">
        <f t="shared" si="12"/>
        <v>1176349.0548418893</v>
      </c>
      <c r="S17" s="24">
        <f t="shared" si="12"/>
        <v>1176349.0548418893</v>
      </c>
      <c r="T17" s="24">
        <f t="shared" si="12"/>
        <v>1176349.0548418893</v>
      </c>
      <c r="U17" s="24">
        <f t="shared" si="12"/>
        <v>1176349.0548418893</v>
      </c>
      <c r="V17" s="24">
        <f t="shared" si="12"/>
        <v>1176349.0548418893</v>
      </c>
      <c r="W17" s="24">
        <f t="shared" si="12"/>
        <v>1176349.0548418893</v>
      </c>
      <c r="X17" s="24">
        <f t="shared" si="12"/>
        <v>1176349.0548418893</v>
      </c>
      <c r="Y17" s="24">
        <f t="shared" si="12"/>
        <v>1176349.0548418893</v>
      </c>
      <c r="Z17" s="24">
        <f t="shared" si="12"/>
        <v>1176349.0548418893</v>
      </c>
      <c r="AA17" s="24">
        <f t="shared" si="12"/>
        <v>1176349.0548418893</v>
      </c>
    </row>
    <row r="18" spans="1:27">
      <c r="A18" t="s">
        <v>493</v>
      </c>
      <c r="C18" s="15" t="s">
        <v>494</v>
      </c>
      <c r="D18" s="13">
        <f>Equipment!B11</f>
        <v>2481321.7256673514</v>
      </c>
      <c r="F18" t="s">
        <v>495</v>
      </c>
      <c r="H18" s="24">
        <f t="shared" ref="H18:AA18" si="13">H14</f>
        <v>1300415.1411252569</v>
      </c>
      <c r="I18" s="24">
        <f t="shared" si="13"/>
        <v>1300415.1411252569</v>
      </c>
      <c r="J18" s="24">
        <f t="shared" si="13"/>
        <v>1300415.1411252569</v>
      </c>
      <c r="K18" s="24">
        <f t="shared" si="13"/>
        <v>1300415.1411252569</v>
      </c>
      <c r="L18" s="24">
        <f t="shared" si="13"/>
        <v>1300415.1411252569</v>
      </c>
      <c r="M18" s="24">
        <f t="shared" si="13"/>
        <v>1300415.1411252569</v>
      </c>
      <c r="N18" s="24">
        <f t="shared" si="13"/>
        <v>1300415.1411252569</v>
      </c>
      <c r="O18" s="24">
        <f t="shared" si="13"/>
        <v>1300415.1411252569</v>
      </c>
      <c r="P18" s="24">
        <f t="shared" si="13"/>
        <v>1300415.1411252569</v>
      </c>
      <c r="Q18" s="24">
        <f t="shared" si="13"/>
        <v>1300415.1411252569</v>
      </c>
      <c r="R18" s="24">
        <f t="shared" si="13"/>
        <v>1300415.1411252569</v>
      </c>
      <c r="S18" s="24">
        <f t="shared" si="13"/>
        <v>1300415.1411252569</v>
      </c>
      <c r="T18" s="24">
        <f t="shared" si="13"/>
        <v>1300415.1411252569</v>
      </c>
      <c r="U18" s="24">
        <f t="shared" si="13"/>
        <v>1300415.1411252569</v>
      </c>
      <c r="V18" s="24">
        <f t="shared" si="13"/>
        <v>1300415.1411252569</v>
      </c>
      <c r="W18" s="24">
        <f t="shared" si="13"/>
        <v>1300415.1411252569</v>
      </c>
      <c r="X18" s="24">
        <f t="shared" si="13"/>
        <v>1300415.1411252569</v>
      </c>
      <c r="Y18" s="24">
        <f t="shared" si="13"/>
        <v>1300415.1411252569</v>
      </c>
      <c r="Z18" s="24">
        <f t="shared" si="13"/>
        <v>1300415.1411252569</v>
      </c>
      <c r="AA18" s="24">
        <f t="shared" si="13"/>
        <v>1300415.1411252569</v>
      </c>
    </row>
    <row r="19" spans="1:27">
      <c r="B19" s="24"/>
      <c r="C19" s="16" t="s">
        <v>496</v>
      </c>
      <c r="D19" s="55">
        <f>D17-D18</f>
        <v>2582600.1634496921</v>
      </c>
      <c r="F19" t="s">
        <v>470</v>
      </c>
      <c r="H19" s="24">
        <f t="shared" ref="H19:AA19" si="14">IF(H17-H18&gt;0,H17-H18,0)</f>
        <v>0</v>
      </c>
      <c r="I19" s="24">
        <f t="shared" si="14"/>
        <v>0</v>
      </c>
      <c r="J19" s="24">
        <f t="shared" si="14"/>
        <v>0</v>
      </c>
      <c r="K19" s="24">
        <f t="shared" si="14"/>
        <v>0</v>
      </c>
      <c r="L19" s="24">
        <f t="shared" si="14"/>
        <v>0</v>
      </c>
      <c r="M19" s="24">
        <f t="shared" si="14"/>
        <v>0</v>
      </c>
      <c r="N19" s="24">
        <f t="shared" si="14"/>
        <v>0</v>
      </c>
      <c r="O19" s="24">
        <f t="shared" si="14"/>
        <v>0</v>
      </c>
      <c r="P19" s="24">
        <f t="shared" si="14"/>
        <v>0</v>
      </c>
      <c r="Q19" s="24">
        <f t="shared" si="14"/>
        <v>0</v>
      </c>
      <c r="R19" s="24">
        <f t="shared" si="14"/>
        <v>0</v>
      </c>
      <c r="S19" s="24">
        <f t="shared" si="14"/>
        <v>0</v>
      </c>
      <c r="T19" s="24">
        <f t="shared" si="14"/>
        <v>0</v>
      </c>
      <c r="U19" s="24">
        <f t="shared" si="14"/>
        <v>0</v>
      </c>
      <c r="V19" s="24">
        <f t="shared" si="14"/>
        <v>0</v>
      </c>
      <c r="W19" s="24">
        <f t="shared" si="14"/>
        <v>0</v>
      </c>
      <c r="X19" s="24">
        <f t="shared" si="14"/>
        <v>0</v>
      </c>
      <c r="Y19" s="24">
        <f t="shared" si="14"/>
        <v>0</v>
      </c>
      <c r="Z19" s="24">
        <f t="shared" si="14"/>
        <v>0</v>
      </c>
      <c r="AA19" s="24">
        <f t="shared" si="14"/>
        <v>0</v>
      </c>
    </row>
    <row r="20" spans="1:27">
      <c r="D20" t="s">
        <v>497</v>
      </c>
      <c r="E20" t="s">
        <v>496</v>
      </c>
      <c r="F20" t="s">
        <v>498</v>
      </c>
      <c r="H20" s="43">
        <f t="shared" ref="H20:AA20" si="15">H8</f>
        <v>1745776.453072886</v>
      </c>
      <c r="I20" s="24">
        <f t="shared" si="15"/>
        <v>2315203.8513038834</v>
      </c>
      <c r="J20" s="24">
        <f t="shared" si="15"/>
        <v>2884631.2495348803</v>
      </c>
      <c r="K20" s="24">
        <f t="shared" si="15"/>
        <v>2884631.2495348803</v>
      </c>
      <c r="L20" s="24">
        <f t="shared" si="15"/>
        <v>2884631.2495348803</v>
      </c>
      <c r="M20" s="24">
        <f t="shared" si="15"/>
        <v>2884631.2495348803</v>
      </c>
      <c r="N20" s="24">
        <f t="shared" si="15"/>
        <v>2884631.2495348803</v>
      </c>
      <c r="O20" s="24">
        <f t="shared" si="15"/>
        <v>2884631.2495348803</v>
      </c>
      <c r="P20" s="24">
        <f t="shared" si="15"/>
        <v>2884631.2495348803</v>
      </c>
      <c r="Q20" s="24">
        <f t="shared" si="15"/>
        <v>2884631.2495348803</v>
      </c>
      <c r="R20" s="24">
        <f t="shared" si="15"/>
        <v>2884631.2495348803</v>
      </c>
      <c r="S20" s="24">
        <f t="shared" si="15"/>
        <v>2884631.2495348803</v>
      </c>
      <c r="T20" s="24">
        <f t="shared" si="15"/>
        <v>2884631.2495348803</v>
      </c>
      <c r="U20" s="24">
        <f t="shared" si="15"/>
        <v>2884631.2495348803</v>
      </c>
      <c r="V20" s="24">
        <f t="shared" si="15"/>
        <v>2884631.2495348803</v>
      </c>
      <c r="W20" s="24">
        <f t="shared" si="15"/>
        <v>2884631.2495348803</v>
      </c>
      <c r="X20" s="24">
        <f t="shared" si="15"/>
        <v>2884631.2495348803</v>
      </c>
      <c r="Y20" s="24">
        <f t="shared" si="15"/>
        <v>2884631.2495348803</v>
      </c>
      <c r="Z20" s="24">
        <f t="shared" si="15"/>
        <v>2884631.2495348803</v>
      </c>
      <c r="AA20" s="24">
        <f t="shared" si="15"/>
        <v>2884631.2495348803</v>
      </c>
    </row>
    <row r="21" spans="1:27">
      <c r="B21" s="25"/>
      <c r="C21" t="s">
        <v>445</v>
      </c>
      <c r="D21" s="1">
        <f>$D$18*E100</f>
        <v>827107.24188911705</v>
      </c>
      <c r="E21" s="1">
        <f>D17-D21</f>
        <v>4236814.6472279262</v>
      </c>
      <c r="F21" t="s">
        <v>499</v>
      </c>
      <c r="H21" s="24">
        <f t="shared" ref="H21:AA21" si="16">H20-H16-H19</f>
        <v>-10259.519328786293</v>
      </c>
      <c r="I21" s="24">
        <f t="shared" si="16"/>
        <v>283113.40030280687</v>
      </c>
      <c r="J21" s="24">
        <f t="shared" si="16"/>
        <v>576650.90249335906</v>
      </c>
      <c r="K21" s="24">
        <f t="shared" si="16"/>
        <v>578930.3225283185</v>
      </c>
      <c r="L21" s="24">
        <f t="shared" si="16"/>
        <v>581403.49326624954</v>
      </c>
      <c r="M21" s="24">
        <f t="shared" si="16"/>
        <v>584086.8835169049</v>
      </c>
      <c r="N21" s="24">
        <f t="shared" si="16"/>
        <v>586998.36193886586</v>
      </c>
      <c r="O21" s="24">
        <f t="shared" si="16"/>
        <v>590157.31602669321</v>
      </c>
      <c r="P21" s="24">
        <f t="shared" si="16"/>
        <v>593584.78121198621</v>
      </c>
      <c r="Q21" s="24">
        <f t="shared" si="16"/>
        <v>597303.5809380291</v>
      </c>
      <c r="R21" s="24">
        <f t="shared" si="16"/>
        <v>601338.47864078544</v>
      </c>
      <c r="S21" s="24">
        <f t="shared" si="16"/>
        <v>605716.34264827613</v>
      </c>
      <c r="T21" s="24">
        <f t="shared" si="16"/>
        <v>610466.32509640325</v>
      </c>
      <c r="U21" s="24">
        <f t="shared" si="16"/>
        <v>615620.05605262192</v>
      </c>
      <c r="V21" s="24">
        <f t="shared" si="16"/>
        <v>621211.8541401187</v>
      </c>
      <c r="W21" s="24">
        <f t="shared" si="16"/>
        <v>627278.95506505249</v>
      </c>
      <c r="X21" s="24">
        <f t="shared" si="16"/>
        <v>633861.75956860604</v>
      </c>
      <c r="Y21" s="24">
        <f t="shared" si="16"/>
        <v>641004.10245496128</v>
      </c>
      <c r="Z21" s="24">
        <f t="shared" si="16"/>
        <v>648753.54448665725</v>
      </c>
      <c r="AA21" s="24">
        <f t="shared" si="16"/>
        <v>657161.68909104681</v>
      </c>
    </row>
    <row r="22" spans="1:27">
      <c r="A22" t="s">
        <v>500</v>
      </c>
      <c r="B22" s="51">
        <f>D13*B25</f>
        <v>1176349.0548418893</v>
      </c>
      <c r="C22" t="s">
        <v>446</v>
      </c>
      <c r="D22" s="1">
        <f t="shared" ref="D22:D23" si="17">$D$18*E101</f>
        <v>1654214.4837782341</v>
      </c>
      <c r="E22" s="1">
        <f>D17-D22</f>
        <v>3409707.4053388094</v>
      </c>
      <c r="F22" t="s">
        <v>501</v>
      </c>
      <c r="G22" s="24">
        <f>(B1*B7)+(B3*B8)</f>
        <v>97204.40400000001</v>
      </c>
    </row>
    <row r="23" spans="1:27">
      <c r="A23" t="s">
        <v>502</v>
      </c>
      <c r="B23" s="51">
        <f>(D13-D14)*B25</f>
        <v>599938.01796936349</v>
      </c>
      <c r="C23" t="s">
        <v>503</v>
      </c>
      <c r="D23" s="1">
        <f t="shared" si="17"/>
        <v>2481321.7256673514</v>
      </c>
      <c r="E23" s="1">
        <f>D17-D23</f>
        <v>2582600.1634496921</v>
      </c>
      <c r="F23" t="s">
        <v>504</v>
      </c>
      <c r="H23" s="24">
        <f t="shared" ref="H23:AA23" si="18">H20</f>
        <v>1745776.453072886</v>
      </c>
      <c r="I23" s="24">
        <f t="shared" si="18"/>
        <v>2315203.8513038834</v>
      </c>
      <c r="J23" s="24">
        <f t="shared" si="18"/>
        <v>2884631.2495348803</v>
      </c>
      <c r="K23" s="24">
        <f t="shared" si="18"/>
        <v>2884631.2495348803</v>
      </c>
      <c r="L23" s="24">
        <f t="shared" si="18"/>
        <v>2884631.2495348803</v>
      </c>
      <c r="M23" s="24">
        <f t="shared" si="18"/>
        <v>2884631.2495348803</v>
      </c>
      <c r="N23" s="24">
        <f t="shared" si="18"/>
        <v>2884631.2495348803</v>
      </c>
      <c r="O23" s="24">
        <f t="shared" si="18"/>
        <v>2884631.2495348803</v>
      </c>
      <c r="P23" s="24">
        <f t="shared" si="18"/>
        <v>2884631.2495348803</v>
      </c>
      <c r="Q23" s="24">
        <f t="shared" si="18"/>
        <v>2884631.2495348803</v>
      </c>
      <c r="R23" s="24">
        <f t="shared" si="18"/>
        <v>2884631.2495348803</v>
      </c>
      <c r="S23" s="24">
        <f t="shared" si="18"/>
        <v>2884631.2495348803</v>
      </c>
      <c r="T23" s="24">
        <f t="shared" si="18"/>
        <v>2884631.2495348803</v>
      </c>
      <c r="U23" s="24">
        <f t="shared" si="18"/>
        <v>2884631.2495348803</v>
      </c>
      <c r="V23" s="24">
        <f t="shared" si="18"/>
        <v>2884631.2495348803</v>
      </c>
      <c r="W23" s="24">
        <f t="shared" si="18"/>
        <v>2884631.2495348803</v>
      </c>
      <c r="X23" s="24">
        <f t="shared" si="18"/>
        <v>2884631.2495348803</v>
      </c>
      <c r="Y23" s="24">
        <f t="shared" si="18"/>
        <v>2884631.2495348803</v>
      </c>
      <c r="Z23" s="24">
        <f t="shared" si="18"/>
        <v>2884631.2495348803</v>
      </c>
      <c r="AA23" s="24">
        <f t="shared" si="18"/>
        <v>2884631.2495348803</v>
      </c>
    </row>
    <row r="24" spans="1:27">
      <c r="A24" t="s">
        <v>505</v>
      </c>
      <c r="B24" s="2">
        <f>B29+0.04</f>
        <v>0.125</v>
      </c>
      <c r="D24" s="1"/>
      <c r="F24" t="s">
        <v>506</v>
      </c>
      <c r="G24" s="24">
        <f>IF(ISERROR(B33),(B5),B33+B34)</f>
        <v>1047044.04</v>
      </c>
      <c r="H24" s="24">
        <f t="shared" ref="H24:AA24" si="19">H16</f>
        <v>1756035.9724016723</v>
      </c>
      <c r="I24" s="24">
        <f t="shared" si="19"/>
        <v>2032090.4510010765</v>
      </c>
      <c r="J24" s="24">
        <f t="shared" si="19"/>
        <v>2307980.3470415212</v>
      </c>
      <c r="K24" s="24">
        <f t="shared" si="19"/>
        <v>2305700.9270065618</v>
      </c>
      <c r="L24" s="24">
        <f t="shared" si="19"/>
        <v>2303227.7562686307</v>
      </c>
      <c r="M24" s="24">
        <f t="shared" si="19"/>
        <v>2300544.3660179754</v>
      </c>
      <c r="N24" s="24">
        <f t="shared" si="19"/>
        <v>2297632.8875960144</v>
      </c>
      <c r="O24" s="24">
        <f t="shared" si="19"/>
        <v>2294473.9335081871</v>
      </c>
      <c r="P24" s="24">
        <f t="shared" si="19"/>
        <v>2291046.4683228941</v>
      </c>
      <c r="Q24" s="24">
        <f t="shared" si="19"/>
        <v>2287327.6685968512</v>
      </c>
      <c r="R24" s="24">
        <f t="shared" si="19"/>
        <v>2283292.7708940948</v>
      </c>
      <c r="S24" s="24">
        <f t="shared" si="19"/>
        <v>2278914.9068866041</v>
      </c>
      <c r="T24" s="24">
        <f t="shared" si="19"/>
        <v>2274164.924438477</v>
      </c>
      <c r="U24" s="24">
        <f t="shared" si="19"/>
        <v>2269011.1934822584</v>
      </c>
      <c r="V24" s="24">
        <f t="shared" si="19"/>
        <v>2263419.3953947616</v>
      </c>
      <c r="W24" s="24">
        <f t="shared" si="19"/>
        <v>2257352.2944698278</v>
      </c>
      <c r="X24" s="24">
        <f t="shared" si="19"/>
        <v>2250769.4899662742</v>
      </c>
      <c r="Y24" s="24">
        <f t="shared" si="19"/>
        <v>2243627.147079919</v>
      </c>
      <c r="Z24" s="24">
        <f t="shared" si="19"/>
        <v>2235877.705048223</v>
      </c>
      <c r="AA24" s="24">
        <f t="shared" si="19"/>
        <v>2227469.5604438335</v>
      </c>
    </row>
    <row r="25" spans="1:27">
      <c r="A25" t="s">
        <v>507</v>
      </c>
      <c r="B25" s="51">
        <f>Inputs!B50</f>
        <v>23.23</v>
      </c>
      <c r="F25" t="s">
        <v>508</v>
      </c>
      <c r="G25" s="24">
        <f>-G24</f>
        <v>-1047044.04</v>
      </c>
      <c r="H25" s="24">
        <f t="shared" ref="H25:AA25" si="20">H23-H24</f>
        <v>-10259.519328786293</v>
      </c>
      <c r="I25" s="24">
        <f t="shared" si="20"/>
        <v>283113.40030280687</v>
      </c>
      <c r="J25" s="24">
        <f t="shared" si="20"/>
        <v>576650.90249335906</v>
      </c>
      <c r="K25" s="24">
        <f t="shared" si="20"/>
        <v>578930.3225283185</v>
      </c>
      <c r="L25" s="24">
        <f t="shared" si="20"/>
        <v>581403.49326624954</v>
      </c>
      <c r="M25" s="24">
        <f t="shared" si="20"/>
        <v>584086.8835169049</v>
      </c>
      <c r="N25" s="24">
        <f t="shared" si="20"/>
        <v>586998.36193886586</v>
      </c>
      <c r="O25" s="24">
        <f t="shared" si="20"/>
        <v>590157.31602669321</v>
      </c>
      <c r="P25" s="24">
        <f t="shared" si="20"/>
        <v>593584.78121198621</v>
      </c>
      <c r="Q25" s="24">
        <f t="shared" si="20"/>
        <v>597303.5809380291</v>
      </c>
      <c r="R25" s="24">
        <f t="shared" si="20"/>
        <v>601338.47864078544</v>
      </c>
      <c r="S25" s="24">
        <f t="shared" si="20"/>
        <v>605716.34264827613</v>
      </c>
      <c r="T25" s="24">
        <f t="shared" si="20"/>
        <v>610466.32509640325</v>
      </c>
      <c r="U25" s="24">
        <f t="shared" si="20"/>
        <v>615620.05605262192</v>
      </c>
      <c r="V25" s="24">
        <f t="shared" si="20"/>
        <v>621211.8541401187</v>
      </c>
      <c r="W25" s="24">
        <f t="shared" si="20"/>
        <v>627278.95506505249</v>
      </c>
      <c r="X25" s="24">
        <f t="shared" si="20"/>
        <v>633861.75956860604</v>
      </c>
      <c r="Y25" s="24">
        <f t="shared" si="20"/>
        <v>641004.10245496128</v>
      </c>
      <c r="Z25" s="24">
        <f t="shared" si="20"/>
        <v>648753.54448665725</v>
      </c>
      <c r="AA25" s="24">
        <f t="shared" si="20"/>
        <v>657161.68909104681</v>
      </c>
    </row>
    <row r="26" spans="1:27">
      <c r="A26" t="s">
        <v>509</v>
      </c>
      <c r="B26" s="24">
        <f>Inputs!B48</f>
        <v>25.68</v>
      </c>
      <c r="F26" t="s">
        <v>510</v>
      </c>
      <c r="G26" s="24">
        <f>G25</f>
        <v>-1047044.04</v>
      </c>
      <c r="H26" s="24">
        <f>H25/(1+($B$24))^1</f>
        <v>-9119.5727366989267</v>
      </c>
      <c r="I26" s="24">
        <f>I25/(1+($B$24))^2</f>
        <v>223694.53851085974</v>
      </c>
      <c r="J26" s="24">
        <f>J25/(1+($B$24))^3</f>
        <v>405000.3595015087</v>
      </c>
      <c r="K26" s="24">
        <f>K25/(1+($B$24))^4</f>
        <v>361423.35026306851</v>
      </c>
      <c r="L26" s="24">
        <f>L25/(1+($B$24))^5</f>
        <v>322637.63429268007</v>
      </c>
      <c r="M26" s="24">
        <f>M25/(1+($B$24))^6</f>
        <v>288112.64466357604</v>
      </c>
      <c r="N26" s="24">
        <f>N25/(1+($B$24))^7</f>
        <v>257376.70236558429</v>
      </c>
      <c r="O26" s="24">
        <f>O25/(1+($B$24))^8</f>
        <v>230010.47547756525</v>
      </c>
      <c r="P26" s="24">
        <f>P25/(1+($B$24))^9</f>
        <v>205641.1650176041</v>
      </c>
      <c r="Q26" s="24">
        <f>Q25/(1+($B$24))^10</f>
        <v>183937.33673185919</v>
      </c>
      <c r="R26" s="24">
        <f>R25/(1+($B$24))^11</f>
        <v>164604.32705387988</v>
      </c>
      <c r="S26" s="24">
        <f>S25/(1+($B$24))^12</f>
        <v>147380.15944034749</v>
      </c>
      <c r="T26" s="24">
        <f>T25/(1+($B$24))^13</f>
        <v>132031.91437732766</v>
      </c>
      <c r="U26" s="24">
        <f>U25/(1+($B$24))^14</f>
        <v>118352.50265168778</v>
      </c>
      <c r="V26" s="24">
        <f>V25/(1+($B$24))^15</f>
        <v>106157.79708283617</v>
      </c>
      <c r="W26" s="24">
        <f>W25/(1+($B$24))^16</f>
        <v>95284.082888174875</v>
      </c>
      <c r="X26" s="24">
        <f>X25/(1+($B$24))^17</f>
        <v>85585.79128074905</v>
      </c>
      <c r="Y26" s="24">
        <f>Y25/(1+($B$24))^18</f>
        <v>76933.484831002206</v>
      </c>
      <c r="Z26" s="24">
        <f>Z25/(1+($B$24))^19</f>
        <v>69212.066620924001</v>
      </c>
      <c r="AA26" s="24">
        <f>AA25/(1+($B$24))^20</f>
        <v>62319.188326769283</v>
      </c>
    </row>
    <row r="28" spans="1:27">
      <c r="A28" s="5" t="s">
        <v>511</v>
      </c>
      <c r="F28" t="s">
        <v>512</v>
      </c>
      <c r="G28" s="12">
        <f>Inputs!B11</f>
        <v>20</v>
      </c>
    </row>
    <row r="29" spans="1:27">
      <c r="A29" t="s">
        <v>201</v>
      </c>
      <c r="B29" s="57">
        <f>Inputs!B149</f>
        <v>8.5000000000000006E-2</v>
      </c>
      <c r="E29" s="2"/>
      <c r="F29" t="s">
        <v>292</v>
      </c>
      <c r="G29" s="51">
        <f>IF(G28=1,SUM(G26:H26),IF(G28=2,SUM(G26:I26),IF(G28=3,SUM(G26:J26),IF(G28=4,SUM(G26:K26),IF(G28=5,SUM(G26:L26),IF(G28=6,SUM(G26:M26),H29))))))</f>
        <v>2479531.9086413058</v>
      </c>
      <c r="H29">
        <f>IF(G28=7,SUM(G26:N26),IF(G28=8,SUM(G26:O26),IF(G28=9,SUM(G26:P26),IF(G28=10,SUM(G26:Q26),IF(G28=11,SUM(G26:R26),IF(G28=12,SUM(G26:S26),I29))))))</f>
        <v>2479531.9086413058</v>
      </c>
      <c r="I29">
        <f>IF(G28=13,SUM(G26:T26),IF(G28=14,SUM(G26:U26),IF(G28=15,SUM(G26:V26),IF(G28=16,SUM(G26:W26),IF(G28=17,SUM(G26:X26),J29)))))</f>
        <v>2479531.9086413058</v>
      </c>
      <c r="J29">
        <f>IF(G28=18,SUM(G26:Y26),IF(G28=19,SUM(G26:Z26),IF(G28=20,SUM(G26:AA26))))</f>
        <v>2479531.9086413058</v>
      </c>
    </row>
    <row r="30" spans="1:27">
      <c r="A30" t="s">
        <v>513</v>
      </c>
      <c r="B30" s="12">
        <f>Inputs!B150</f>
        <v>20</v>
      </c>
      <c r="E30" s="2"/>
    </row>
    <row r="31" spans="1:27">
      <c r="A31" t="s">
        <v>514</v>
      </c>
      <c r="B31" s="2">
        <f>Inputs!B152</f>
        <v>0.8</v>
      </c>
      <c r="F31" t="s">
        <v>515</v>
      </c>
      <c r="G31">
        <f>IF(ISERROR(G60),"n/a",IF(G60&gt;1,(G58+(G59/G60)),21))</f>
        <v>4.2047044654479118</v>
      </c>
      <c r="I31" s="25">
        <f>NPV(B24,G37,G38,G39,G40,G41,G42,G43,G44,G45,G46,G47,G48,G49,G50,G51,G52,G53,G54,G55,G56)+G24</f>
        <v>2576226.3900425797</v>
      </c>
    </row>
    <row r="32" spans="1:27">
      <c r="A32" t="s">
        <v>203</v>
      </c>
      <c r="B32" s="58">
        <f>Inputs!B151</f>
        <v>0.2</v>
      </c>
      <c r="F32" t="s">
        <v>516</v>
      </c>
      <c r="G32" s="56">
        <f>IFERROR(IRR(G25:AA25),"No Positive Values")</f>
        <v>0.35320590543266772</v>
      </c>
    </row>
    <row r="33" spans="1:15">
      <c r="A33" t="s">
        <v>517</v>
      </c>
      <c r="B33" s="24">
        <f>Inputs!B41*Inputs!B42</f>
        <v>12792</v>
      </c>
    </row>
    <row r="34" spans="1:15">
      <c r="A34" t="s">
        <v>518</v>
      </c>
      <c r="B34" s="24">
        <f>(B1+B3)-B33</f>
        <v>1034252.04</v>
      </c>
      <c r="F34" t="s">
        <v>519</v>
      </c>
    </row>
    <row r="35" spans="1:15">
      <c r="A35" t="s">
        <v>520</v>
      </c>
      <c r="B35" s="25">
        <f>-PMT(B29,B30,B34,)</f>
        <v>109290.42079828949</v>
      </c>
      <c r="C35" s="25"/>
      <c r="D35" s="25"/>
      <c r="F35" s="8" t="s">
        <v>521</v>
      </c>
      <c r="G35" s="8" t="s">
        <v>519</v>
      </c>
      <c r="H35" s="8" t="s">
        <v>522</v>
      </c>
      <c r="I35" s="8" t="s">
        <v>523</v>
      </c>
    </row>
    <row r="36" spans="1:15">
      <c r="A36" t="s">
        <v>524</v>
      </c>
      <c r="B36" s="25">
        <f>B37-B34</f>
        <v>1151556.3759657899</v>
      </c>
      <c r="C36" s="25">
        <f>B36/20</f>
        <v>57577.818798289496</v>
      </c>
      <c r="D36" s="25"/>
      <c r="F36">
        <v>0</v>
      </c>
      <c r="G36" s="24">
        <f>G26</f>
        <v>-1047044.04</v>
      </c>
      <c r="H36" s="24">
        <f>SUM(G36)</f>
        <v>-1047044.04</v>
      </c>
      <c r="I36" s="6">
        <f t="shared" ref="I36:I56" si="21">ABS(H36)</f>
        <v>1047044.04</v>
      </c>
    </row>
    <row r="37" spans="1:15">
      <c r="A37" t="s">
        <v>525</v>
      </c>
      <c r="B37" s="25">
        <f>B35*B30</f>
        <v>2185808.4159657899</v>
      </c>
      <c r="C37" s="25"/>
      <c r="D37" s="25"/>
      <c r="F37">
        <v>1</v>
      </c>
      <c r="G37" s="24">
        <f>H26</f>
        <v>-9119.5727366989267</v>
      </c>
      <c r="H37" s="24">
        <f>SUM(G36:G37)</f>
        <v>-1056163.6127366989</v>
      </c>
      <c r="I37" s="6">
        <f t="shared" si="21"/>
        <v>1056163.6127366989</v>
      </c>
    </row>
    <row r="38" spans="1:15">
      <c r="B38" s="25"/>
      <c r="F38">
        <v>2</v>
      </c>
      <c r="G38" s="24">
        <f>I26</f>
        <v>223694.53851085974</v>
      </c>
      <c r="H38" s="24">
        <f>SUM(G36:G38)</f>
        <v>-832469.07422583923</v>
      </c>
      <c r="I38" s="6">
        <f t="shared" si="21"/>
        <v>832469.07422583923</v>
      </c>
      <c r="M38" t="s">
        <v>526</v>
      </c>
      <c r="N38" t="s">
        <v>527</v>
      </c>
      <c r="O38" t="s">
        <v>528</v>
      </c>
    </row>
    <row r="39" spans="1:15">
      <c r="A39" t="s">
        <v>529</v>
      </c>
      <c r="B39" s="2">
        <v>0.123089</v>
      </c>
      <c r="C39" s="25"/>
      <c r="D39" s="25"/>
      <c r="F39">
        <v>3</v>
      </c>
      <c r="G39" s="24">
        <f>J26</f>
        <v>405000.3595015087</v>
      </c>
      <c r="H39" s="24">
        <f>SUM(G36:G39)</f>
        <v>-427468.71472433052</v>
      </c>
      <c r="I39" s="6">
        <f t="shared" si="21"/>
        <v>427468.71472433052</v>
      </c>
      <c r="K39" s="609" t="s">
        <v>530</v>
      </c>
      <c r="L39" s="609"/>
      <c r="M39" s="51">
        <f>(E21/100)*$B$25</f>
        <v>984212.04255104717</v>
      </c>
      <c r="N39" s="51">
        <f>(E22/100)*$B$25</f>
        <v>792075.0302602055</v>
      </c>
      <c r="O39" s="51">
        <f>(E23/100)*$B$25</f>
        <v>599938.01796936349</v>
      </c>
    </row>
    <row r="40" spans="1:15">
      <c r="F40">
        <v>4</v>
      </c>
      <c r="G40" s="24">
        <f>K26</f>
        <v>361423.35026306851</v>
      </c>
      <c r="H40" s="24">
        <f>SUM(G36:G40)</f>
        <v>-66045.364461262012</v>
      </c>
      <c r="I40" s="6">
        <f t="shared" si="21"/>
        <v>66045.364461262012</v>
      </c>
      <c r="K40" s="609" t="s">
        <v>531</v>
      </c>
      <c r="L40" s="609"/>
      <c r="M40" s="51">
        <f>(D21/100)*$B$25</f>
        <v>192137.01229084187</v>
      </c>
      <c r="N40" s="51">
        <f>(D22/100)*$B$25</f>
        <v>384274.02458168374</v>
      </c>
      <c r="O40" s="51">
        <f>(D23/100)*$B$25</f>
        <v>576411.0368725257</v>
      </c>
    </row>
    <row r="41" spans="1:15">
      <c r="B41" t="s">
        <v>532</v>
      </c>
      <c r="C41" t="s">
        <v>533</v>
      </c>
      <c r="D41" t="s">
        <v>534</v>
      </c>
      <c r="E41" t="s">
        <v>535</v>
      </c>
      <c r="F41">
        <v>5</v>
      </c>
      <c r="G41" s="24">
        <f>L26</f>
        <v>322637.63429268007</v>
      </c>
      <c r="H41" s="24">
        <f>SUM(G36:G41)</f>
        <v>256592.26983141806</v>
      </c>
      <c r="I41" s="6">
        <f t="shared" si="21"/>
        <v>256592.26983141806</v>
      </c>
      <c r="K41" s="609" t="s">
        <v>93</v>
      </c>
      <c r="L41" s="609"/>
      <c r="M41" s="51">
        <f>(D21/100)*$B$15</f>
        <v>42265.180060533879</v>
      </c>
      <c r="N41" s="51">
        <f>(D22/100)*$B$15</f>
        <v>84530.360121067759</v>
      </c>
      <c r="O41" s="51">
        <f>(D23/100)*$B$15</f>
        <v>126795.54018160167</v>
      </c>
    </row>
    <row r="42" spans="1:15">
      <c r="A42" t="s">
        <v>42</v>
      </c>
      <c r="B42" s="43">
        <f>Inputs!B52</f>
        <v>10.5</v>
      </c>
      <c r="C42" s="58">
        <f>Inputs!B15</f>
        <v>0.1</v>
      </c>
      <c r="D42" s="58">
        <f>Inputs!C15</f>
        <v>1</v>
      </c>
      <c r="E42" s="43">
        <f>(($D$18*D42)*C42)*(B42)</f>
        <v>2605387.811950719</v>
      </c>
      <c r="F42">
        <v>6</v>
      </c>
      <c r="G42" s="24">
        <f>M26</f>
        <v>288112.64466357604</v>
      </c>
      <c r="H42" s="24">
        <f>SUM(G36:G42)</f>
        <v>544704.9144949941</v>
      </c>
      <c r="I42" s="6">
        <f t="shared" si="21"/>
        <v>544704.9144949941</v>
      </c>
      <c r="K42" s="609" t="s">
        <v>536</v>
      </c>
      <c r="L42" s="609"/>
      <c r="M42" s="51">
        <f>(D21/100)*$B$16</f>
        <v>43588.551647556465</v>
      </c>
      <c r="N42" s="51">
        <f>(D22/100)*$B$16</f>
        <v>87177.103295112931</v>
      </c>
      <c r="O42" s="51">
        <f>(D23/100)*$B$16</f>
        <v>130765.65494266941</v>
      </c>
    </row>
    <row r="43" spans="1:15">
      <c r="A43" t="s">
        <v>45</v>
      </c>
      <c r="B43" s="43">
        <f>Inputs!B53</f>
        <v>0</v>
      </c>
      <c r="C43" s="58">
        <f>Inputs!B16</f>
        <v>0.11</v>
      </c>
      <c r="D43" s="58">
        <f>Inputs!C16</f>
        <v>0</v>
      </c>
      <c r="E43" s="43">
        <f t="shared" ref="E43:E48" si="22">(($D$18*D43)*C43)*(B43*2)</f>
        <v>0</v>
      </c>
      <c r="F43">
        <v>7</v>
      </c>
      <c r="G43" s="24">
        <f>N26</f>
        <v>257376.70236558429</v>
      </c>
      <c r="H43" s="24">
        <f>SUM(G36:G43)</f>
        <v>802081.61686057842</v>
      </c>
      <c r="I43" s="6">
        <f t="shared" si="21"/>
        <v>802081.61686057842</v>
      </c>
    </row>
    <row r="44" spans="1:15">
      <c r="A44" t="s">
        <v>48</v>
      </c>
      <c r="B44" s="43">
        <f>Inputs!B54</f>
        <v>0</v>
      </c>
      <c r="C44" s="58">
        <f>Inputs!B17</f>
        <v>0.08</v>
      </c>
      <c r="D44" s="58">
        <f>Inputs!C17</f>
        <v>0</v>
      </c>
      <c r="E44" s="43">
        <f t="shared" si="22"/>
        <v>0</v>
      </c>
      <c r="F44">
        <v>8</v>
      </c>
      <c r="G44" s="24">
        <f>O26</f>
        <v>230010.47547756525</v>
      </c>
      <c r="H44" s="24">
        <f>SUM(G36:G44)</f>
        <v>1032092.0923381436</v>
      </c>
      <c r="I44" s="6">
        <f t="shared" si="21"/>
        <v>1032092.0923381436</v>
      </c>
    </row>
    <row r="45" spans="1:15">
      <c r="A45" t="s">
        <v>52</v>
      </c>
      <c r="B45" s="43">
        <f>Inputs!B55</f>
        <v>0</v>
      </c>
      <c r="C45" s="58">
        <f>Inputs!B18</f>
        <v>0.14000000000000001</v>
      </c>
      <c r="D45" s="58">
        <f>Inputs!C18</f>
        <v>0</v>
      </c>
      <c r="E45" s="43">
        <f t="shared" si="22"/>
        <v>0</v>
      </c>
      <c r="F45">
        <v>9</v>
      </c>
      <c r="G45" s="24">
        <f>P26</f>
        <v>205641.1650176041</v>
      </c>
      <c r="H45" s="24">
        <f>SUM(G36:G45)</f>
        <v>1237733.2573557477</v>
      </c>
      <c r="I45" s="6">
        <f t="shared" si="21"/>
        <v>1237733.2573557477</v>
      </c>
    </row>
    <row r="46" spans="1:15">
      <c r="A46" t="s">
        <v>537</v>
      </c>
      <c r="B46" s="43">
        <f>Inputs!B56</f>
        <v>0</v>
      </c>
      <c r="C46" s="58">
        <f>Inputs!B19</f>
        <v>0.125</v>
      </c>
      <c r="D46" s="58">
        <f>Inputs!C19</f>
        <v>0</v>
      </c>
      <c r="E46" s="43">
        <f t="shared" si="22"/>
        <v>0</v>
      </c>
      <c r="F46">
        <v>10</v>
      </c>
      <c r="G46" s="24">
        <f>Q26</f>
        <v>183937.33673185919</v>
      </c>
      <c r="H46" s="24">
        <f>SUM(G36:G46)</f>
        <v>1421670.594087607</v>
      </c>
      <c r="I46" s="6">
        <f t="shared" si="21"/>
        <v>1421670.594087607</v>
      </c>
    </row>
    <row r="47" spans="1:15">
      <c r="A47" t="s">
        <v>58</v>
      </c>
      <c r="B47" s="43">
        <f>Inputs!B57</f>
        <v>0</v>
      </c>
      <c r="C47" s="58">
        <f>Inputs!B20</f>
        <v>0.09</v>
      </c>
      <c r="D47" s="58">
        <f>Inputs!C20</f>
        <v>0</v>
      </c>
      <c r="E47" s="43">
        <f t="shared" si="22"/>
        <v>0</v>
      </c>
      <c r="F47">
        <v>11</v>
      </c>
      <c r="G47" s="24">
        <f>R26</f>
        <v>164604.32705387988</v>
      </c>
      <c r="H47" s="24">
        <f>SUM(G36:G47)</f>
        <v>1586274.9211414868</v>
      </c>
      <c r="I47" s="6">
        <f t="shared" si="21"/>
        <v>1586274.9211414868</v>
      </c>
    </row>
    <row r="48" spans="1:15">
      <c r="A48" t="s">
        <v>61</v>
      </c>
      <c r="B48" s="43">
        <f>Inputs!B58</f>
        <v>0</v>
      </c>
      <c r="C48" s="58">
        <f>Inputs!B21</f>
        <v>0.12</v>
      </c>
      <c r="D48" s="58">
        <f>Inputs!C21</f>
        <v>0</v>
      </c>
      <c r="E48" s="43">
        <f t="shared" si="22"/>
        <v>0</v>
      </c>
      <c r="F48">
        <v>12</v>
      </c>
      <c r="G48" s="24">
        <f>S26</f>
        <v>147380.15944034749</v>
      </c>
      <c r="H48" s="24">
        <f>SUM(G36:G48)</f>
        <v>1733655.0805818343</v>
      </c>
      <c r="I48" s="6">
        <f t="shared" si="21"/>
        <v>1733655.0805818343</v>
      </c>
      <c r="N48" s="1">
        <f>H3/2</f>
        <v>144262.8910271716</v>
      </c>
    </row>
    <row r="49" spans="1:9">
      <c r="A49" t="s">
        <v>64</v>
      </c>
      <c r="B49" s="43">
        <f>Inputs!B59</f>
        <v>0</v>
      </c>
      <c r="C49" s="58">
        <f>Inputs!B22</f>
        <v>0.2</v>
      </c>
      <c r="D49" s="58">
        <f>Inputs!C22</f>
        <v>0</v>
      </c>
      <c r="E49" s="43">
        <f>(($D$18*D49)*C49)*(B49)</f>
        <v>0</v>
      </c>
      <c r="F49">
        <v>13</v>
      </c>
      <c r="G49" s="24">
        <f>T26</f>
        <v>132031.91437732766</v>
      </c>
      <c r="H49" s="24">
        <f>SUM(G36:G49)</f>
        <v>1865686.9949591621</v>
      </c>
      <c r="I49" s="6">
        <f t="shared" si="21"/>
        <v>1865686.9949591621</v>
      </c>
    </row>
    <row r="50" spans="1:9">
      <c r="A50" t="s">
        <v>67</v>
      </c>
      <c r="B50" s="43">
        <f>Inputs!B60</f>
        <v>0</v>
      </c>
      <c r="C50" s="58">
        <f>Inputs!B23</f>
        <v>0</v>
      </c>
      <c r="D50" s="58">
        <f>Inputs!C23</f>
        <v>0</v>
      </c>
      <c r="E50" s="43">
        <f>(($D$18*D50)*C50)*(B50*2)</f>
        <v>0</v>
      </c>
      <c r="F50">
        <v>14</v>
      </c>
      <c r="G50" s="24">
        <f>U26</f>
        <v>118352.50265168778</v>
      </c>
      <c r="H50" s="24">
        <f>SUM(G36:G50)</f>
        <v>1984039.4976108498</v>
      </c>
      <c r="I50" s="6">
        <f t="shared" si="21"/>
        <v>1984039.4976108498</v>
      </c>
    </row>
    <row r="51" spans="1:9">
      <c r="A51" t="s">
        <v>69</v>
      </c>
      <c r="B51" s="43">
        <f>Inputs!B61</f>
        <v>0</v>
      </c>
      <c r="C51" s="58">
        <f>Inputs!B24</f>
        <v>0</v>
      </c>
      <c r="D51" s="58">
        <f>Inputs!C24</f>
        <v>0</v>
      </c>
      <c r="E51" s="43">
        <f>(($D$18*D51)*C51)*(B51*2)</f>
        <v>0</v>
      </c>
      <c r="F51">
        <v>15</v>
      </c>
      <c r="G51" s="24">
        <f>V26</f>
        <v>106157.79708283617</v>
      </c>
      <c r="H51" s="24">
        <f>SUM(G36:G51)</f>
        <v>2090197.2946936861</v>
      </c>
      <c r="I51" s="6">
        <f t="shared" si="21"/>
        <v>2090197.2946936861</v>
      </c>
    </row>
    <row r="52" spans="1:9">
      <c r="A52" s="8" t="s">
        <v>70</v>
      </c>
      <c r="B52" s="44">
        <f>Inputs!B62</f>
        <v>0</v>
      </c>
      <c r="C52" s="59">
        <f>Inputs!B25</f>
        <v>0</v>
      </c>
      <c r="D52" s="59">
        <f>Inputs!C25</f>
        <v>0</v>
      </c>
      <c r="E52" s="44">
        <f>(($D$18*D52)*C52)*(B52*2)</f>
        <v>0</v>
      </c>
      <c r="F52">
        <v>16</v>
      </c>
      <c r="G52" s="24">
        <f>W26</f>
        <v>95284.082888174875</v>
      </c>
      <c r="H52" s="24">
        <f>SUM(G36:G52)</f>
        <v>2185481.3775818609</v>
      </c>
      <c r="I52" s="6">
        <f t="shared" si="21"/>
        <v>2185481.3775818609</v>
      </c>
    </row>
    <row r="53" spans="1:9">
      <c r="A53" s="21" t="s">
        <v>535</v>
      </c>
      <c r="E53" s="43">
        <f>SUM(E42:E52)</f>
        <v>2605387.811950719</v>
      </c>
      <c r="F53">
        <v>17</v>
      </c>
      <c r="G53" s="24">
        <f>X26</f>
        <v>85585.79128074905</v>
      </c>
      <c r="H53" s="24">
        <f>SUM(G36:G53)</f>
        <v>2271067.1688626101</v>
      </c>
      <c r="I53" s="6">
        <f t="shared" si="21"/>
        <v>2271067.1688626101</v>
      </c>
    </row>
    <row r="54" spans="1:9">
      <c r="F54">
        <v>18</v>
      </c>
      <c r="G54" s="24">
        <f>Y26</f>
        <v>76933.484831002206</v>
      </c>
      <c r="H54" s="24">
        <f>SUM(G36:G54)</f>
        <v>2348000.6536936122</v>
      </c>
      <c r="I54" s="6">
        <f t="shared" si="21"/>
        <v>2348000.6536936122</v>
      </c>
    </row>
    <row r="55" spans="1:9">
      <c r="F55">
        <v>19</v>
      </c>
      <c r="G55" s="24">
        <f>Z26</f>
        <v>69212.066620924001</v>
      </c>
      <c r="H55" s="24">
        <f>SUM(G36:G55)</f>
        <v>2417212.7203145362</v>
      </c>
      <c r="I55" s="6">
        <f t="shared" si="21"/>
        <v>2417212.7203145362</v>
      </c>
    </row>
    <row r="56" spans="1:9">
      <c r="F56">
        <v>20</v>
      </c>
      <c r="G56" s="24">
        <f>AA26</f>
        <v>62319.188326769283</v>
      </c>
      <c r="H56" s="24">
        <f>SUM(G36:G56)</f>
        <v>2479531.9086413058</v>
      </c>
      <c r="I56" s="6">
        <f t="shared" si="21"/>
        <v>2479531.9086413058</v>
      </c>
    </row>
    <row r="58" spans="1:9">
      <c r="F58" t="s">
        <v>538</v>
      </c>
      <c r="G58" s="60">
        <f>IF(H56&lt;0,F56,IF(H55&lt;0,F55,IF(H54&lt;0,F54,IF(H53&lt;0,F53,IF(H52&lt;0,F52,IF(H51&lt;0,F51,IF(H50&lt;0,F50,H58)))))))</f>
        <v>4</v>
      </c>
      <c r="H58">
        <f>IF(H49&lt;0,F49,IF(H48&lt;0,F48,IF(H47&lt;0,F47,IF(H46&lt;0,F46,IF(H45&lt;0,F45,IF(H44&lt;0,F44,IF(H43&lt;0,F43,I58)))))))</f>
        <v>4</v>
      </c>
      <c r="I58">
        <f>IF(H42&lt;0,F42,IF(H41&lt;0,F41,IF(H40&lt;0,F40,IF(H39&lt;0,F39,IF(H38&lt;0,F38,IF(H37&lt;0,F37,IF(H36&lt;0,F36,)))))))</f>
        <v>4</v>
      </c>
    </row>
    <row r="59" spans="1:9">
      <c r="A59" t="s">
        <v>539</v>
      </c>
      <c r="F59" t="s">
        <v>540</v>
      </c>
      <c r="G59">
        <f>IF(G58=0,I36,IF(G58=1,I37,IF(G58=2,I38,IF(G58=3,I39,IF(G58=4,I40,IF(G58=5,I41,IF(G58=6,I42,H59)))))))</f>
        <v>66045.364461262012</v>
      </c>
      <c r="H59" t="b">
        <f>IF(G58=7,I43,IF(G58=8,I44,IF(G58=9,I45,IF(G58=10,I46,IF(G58=11,I47,IF(G58=12,I48,IF(G58=13,I49,I59)))))))</f>
        <v>0</v>
      </c>
      <c r="I59" t="b">
        <f>IF(G58=14,I50,IF(G58=15,I51,IF(G58=16,I52,IF(G58=17,I53,IF(G59=18,I54,IF(G59=19,I55,IF(G59=20,I56)))))))</f>
        <v>0</v>
      </c>
    </row>
    <row r="60" spans="1:9">
      <c r="A60" t="s">
        <v>541</v>
      </c>
      <c r="F60" t="s">
        <v>542</v>
      </c>
      <c r="G60">
        <f>IF(G58=0,G37,IF(G58=1,G38,IF(G58=2,G39,IF(G58=3,G40,IF(G58=4,G41,IF(G58=5,G42,IF(G58=6,G43,H60)))))))</f>
        <v>322637.63429268007</v>
      </c>
      <c r="H60" t="b">
        <f>IF(G58=7,G44,IF(G58=8,G45,IF(G58=9,G46,IF(G58=10,G47,IF(G58=11,G48,IF(G58=12,G49,IF(G58=13,G50,I60)))))))</f>
        <v>0</v>
      </c>
      <c r="I60" t="b">
        <f>IF(G58=14,G51,IF(G58=15,G52,IF(G58=16,G53,IF(G58=17,G54,IF(G58=18,G55,IF(G58=19,G56,IF(G58=20,G57)))))))</f>
        <v>0</v>
      </c>
    </row>
    <row r="61" spans="1:9">
      <c r="A61" t="s">
        <v>543</v>
      </c>
    </row>
    <row r="64" spans="1:9">
      <c r="A64" t="s">
        <v>544</v>
      </c>
      <c r="C64" s="608" t="s">
        <v>545</v>
      </c>
      <c r="D64" s="608"/>
      <c r="E64" s="608"/>
      <c r="F64" s="608" t="s">
        <v>546</v>
      </c>
      <c r="G64" s="608"/>
      <c r="H64" s="608"/>
      <c r="I64" s="49" t="s">
        <v>547</v>
      </c>
    </row>
    <row r="65" spans="1:9">
      <c r="C65" s="49" t="s">
        <v>548</v>
      </c>
      <c r="D65" s="49" t="s">
        <v>549</v>
      </c>
      <c r="E65" s="49" t="s">
        <v>550</v>
      </c>
      <c r="F65" s="49" t="s">
        <v>548</v>
      </c>
      <c r="G65" s="49" t="s">
        <v>549</v>
      </c>
      <c r="H65" s="49" t="s">
        <v>550</v>
      </c>
    </row>
    <row r="66" spans="1:9">
      <c r="A66" t="s">
        <v>551</v>
      </c>
      <c r="B66" t="s">
        <v>552</v>
      </c>
      <c r="C66" s="50">
        <v>17876.400000000001</v>
      </c>
      <c r="D66" s="43">
        <v>13364.242769420196</v>
      </c>
      <c r="E66" s="43">
        <v>12000</v>
      </c>
      <c r="F66" s="50">
        <v>1.4773899642747641</v>
      </c>
      <c r="G66" s="43">
        <v>0.36337138915245304</v>
      </c>
      <c r="H66" s="43">
        <v>1.4255167498218104</v>
      </c>
      <c r="I66" s="52">
        <f>F66*$D$14</f>
        <v>36658.798156378842</v>
      </c>
    </row>
    <row r="67" spans="1:9">
      <c r="A67" t="s">
        <v>553</v>
      </c>
      <c r="B67" t="s">
        <v>552</v>
      </c>
      <c r="C67" s="50">
        <v>11835.75</v>
      </c>
      <c r="D67" s="43">
        <v>12319.574353442573</v>
      </c>
      <c r="E67" s="43">
        <v>7671.5</v>
      </c>
      <c r="F67" s="50">
        <v>0.74617976194766533</v>
      </c>
      <c r="G67" s="43">
        <v>0.80499113627731922</v>
      </c>
      <c r="H67" s="43">
        <v>0.4725561032722379</v>
      </c>
      <c r="I67" s="52">
        <f>F67*$D$14</f>
        <v>18515.120545740345</v>
      </c>
    </row>
    <row r="68" spans="1:9">
      <c r="A68" t="s">
        <v>554</v>
      </c>
      <c r="B68" t="s">
        <v>552</v>
      </c>
      <c r="C68" s="50">
        <v>2044</v>
      </c>
      <c r="D68" s="43">
        <v>905.3618061305657</v>
      </c>
      <c r="E68" s="43">
        <v>1800</v>
      </c>
      <c r="F68" s="50">
        <v>0.1868808067705168</v>
      </c>
      <c r="G68" s="43">
        <v>0.14613031309920727</v>
      </c>
      <c r="H68" s="43">
        <v>0.17883755588673622</v>
      </c>
      <c r="I68" s="52">
        <f>F68*$D$14</f>
        <v>4637.1140594992557</v>
      </c>
    </row>
    <row r="69" spans="1:9">
      <c r="A69" t="s">
        <v>555</v>
      </c>
      <c r="B69" t="s">
        <v>552</v>
      </c>
      <c r="C69" s="50">
        <v>16519.166666666668</v>
      </c>
      <c r="D69" s="43">
        <v>24334.411933857507</v>
      </c>
      <c r="E69" s="43">
        <v>6200</v>
      </c>
      <c r="F69" s="50">
        <v>2.3321852417267781</v>
      </c>
      <c r="G69" s="43">
        <v>3.9463652086177818</v>
      </c>
      <c r="H69" s="43">
        <v>0.85533901792295453</v>
      </c>
      <c r="I69" s="52">
        <f>F69*$D$14</f>
        <v>57869.019085774176</v>
      </c>
    </row>
    <row r="70" spans="1:9">
      <c r="A70" t="s">
        <v>556</v>
      </c>
      <c r="B70" t="s">
        <v>557</v>
      </c>
      <c r="C70" s="50">
        <v>38310.833333333336</v>
      </c>
      <c r="D70" s="43">
        <v>31222.714900640316</v>
      </c>
      <c r="E70" s="43">
        <v>34581</v>
      </c>
      <c r="F70" s="50">
        <v>2.7710260238953395</v>
      </c>
      <c r="G70" s="43">
        <v>1.4937173508263357</v>
      </c>
      <c r="H70" s="43">
        <v>2.9377794336810732</v>
      </c>
      <c r="I70" s="43">
        <f t="shared" ref="I70:I78" si="23">C70</f>
        <v>38310.833333333336</v>
      </c>
    </row>
    <row r="71" spans="1:9">
      <c r="A71" t="s">
        <v>558</v>
      </c>
      <c r="B71" t="s">
        <v>557</v>
      </c>
      <c r="C71" s="50">
        <v>10655.6</v>
      </c>
      <c r="D71" s="43">
        <v>6519.3494153941474</v>
      </c>
      <c r="E71" s="43">
        <v>8000</v>
      </c>
      <c r="F71" s="50">
        <v>1.4386142404255489</v>
      </c>
      <c r="G71" s="43">
        <v>1.154391295782097</v>
      </c>
      <c r="H71" s="43">
        <v>1.249024199843872</v>
      </c>
      <c r="I71" s="43">
        <f t="shared" si="23"/>
        <v>10655.6</v>
      </c>
    </row>
    <row r="72" spans="1:9">
      <c r="A72" t="s">
        <v>559</v>
      </c>
      <c r="B72" t="s">
        <v>557</v>
      </c>
      <c r="C72" s="50">
        <v>21961.333333333332</v>
      </c>
      <c r="D72" s="43">
        <v>26576.247490318619</v>
      </c>
      <c r="E72" s="43">
        <v>12425</v>
      </c>
      <c r="F72" s="50">
        <v>1.6949037544766314</v>
      </c>
      <c r="G72" s="43">
        <v>0.97702588494486542</v>
      </c>
      <c r="H72" s="43">
        <v>1.9361651803411943</v>
      </c>
      <c r="I72" s="43">
        <f t="shared" si="23"/>
        <v>21961.333333333332</v>
      </c>
    </row>
    <row r="73" spans="1:9">
      <c r="A73" t="s">
        <v>560</v>
      </c>
      <c r="B73" t="s">
        <v>557</v>
      </c>
      <c r="C73" s="50">
        <v>12000</v>
      </c>
      <c r="F73" s="50">
        <v>1.873536299765808</v>
      </c>
      <c r="I73" s="43">
        <f t="shared" si="23"/>
        <v>12000</v>
      </c>
    </row>
    <row r="74" spans="1:9">
      <c r="A74" t="s">
        <v>561</v>
      </c>
      <c r="B74" t="s">
        <v>557</v>
      </c>
      <c r="C74" s="50">
        <v>41811</v>
      </c>
      <c r="F74" s="50">
        <v>2.0770491803278688</v>
      </c>
      <c r="I74" s="43">
        <f t="shared" si="23"/>
        <v>41811</v>
      </c>
    </row>
    <row r="75" spans="1:9">
      <c r="A75" t="s">
        <v>562</v>
      </c>
      <c r="B75" t="s">
        <v>557</v>
      </c>
      <c r="C75" s="50">
        <v>2091</v>
      </c>
      <c r="F75" s="50">
        <v>0.46908913478741243</v>
      </c>
      <c r="I75" s="43">
        <f t="shared" si="23"/>
        <v>2091</v>
      </c>
    </row>
    <row r="76" spans="1:9">
      <c r="A76" t="s">
        <v>563</v>
      </c>
      <c r="B76" t="s">
        <v>557</v>
      </c>
      <c r="C76" s="50">
        <v>1200</v>
      </c>
      <c r="F76" s="50">
        <v>0.18735362997658081</v>
      </c>
      <c r="I76" s="43">
        <f t="shared" si="23"/>
        <v>1200</v>
      </c>
    </row>
    <row r="77" spans="1:9">
      <c r="A77" t="s">
        <v>564</v>
      </c>
      <c r="B77" t="s">
        <v>557</v>
      </c>
      <c r="C77" s="50">
        <v>1289</v>
      </c>
      <c r="F77" s="50">
        <v>0.28917068136823276</v>
      </c>
      <c r="I77" s="43">
        <f t="shared" si="23"/>
        <v>1289</v>
      </c>
    </row>
    <row r="78" spans="1:9">
      <c r="A78" t="s">
        <v>565</v>
      </c>
      <c r="B78" t="s">
        <v>557</v>
      </c>
      <c r="C78" s="50">
        <v>507</v>
      </c>
      <c r="F78" s="50">
        <v>0.11373897242334678</v>
      </c>
      <c r="I78" s="43">
        <f t="shared" si="23"/>
        <v>507</v>
      </c>
    </row>
    <row r="80" spans="1:9">
      <c r="C80" s="43">
        <f>SUM(C66:C78)</f>
        <v>178101.08333333331</v>
      </c>
      <c r="E80" s="43">
        <f>SUM(E66:E72)+SUM(C73:C78)</f>
        <v>141575.5</v>
      </c>
      <c r="F80" s="43"/>
      <c r="H80" s="43"/>
      <c r="I80" s="43">
        <f>SUM(I66:I78)</f>
        <v>247505.8185140593</v>
      </c>
    </row>
    <row r="87" spans="1:22">
      <c r="A87" t="s">
        <v>566</v>
      </c>
    </row>
    <row r="88" spans="1:22">
      <c r="B88" t="s">
        <v>444</v>
      </c>
      <c r="C88" t="s">
        <v>445</v>
      </c>
      <c r="D88" t="s">
        <v>446</v>
      </c>
      <c r="E88" t="s">
        <v>447</v>
      </c>
      <c r="F88" t="s">
        <v>448</v>
      </c>
      <c r="G88" t="s">
        <v>449</v>
      </c>
      <c r="H88" t="s">
        <v>450</v>
      </c>
      <c r="I88" t="s">
        <v>451</v>
      </c>
      <c r="J88" t="s">
        <v>452</v>
      </c>
      <c r="K88" t="s">
        <v>453</v>
      </c>
      <c r="L88" t="s">
        <v>454</v>
      </c>
      <c r="M88" t="s">
        <v>455</v>
      </c>
      <c r="N88" t="s">
        <v>456</v>
      </c>
      <c r="O88" t="s">
        <v>457</v>
      </c>
      <c r="P88" t="s">
        <v>458</v>
      </c>
      <c r="Q88" t="s">
        <v>459</v>
      </c>
      <c r="R88" t="s">
        <v>460</v>
      </c>
      <c r="S88" t="s">
        <v>461</v>
      </c>
      <c r="T88" t="s">
        <v>462</v>
      </c>
      <c r="U88" t="s">
        <v>463</v>
      </c>
      <c r="V88" t="s">
        <v>464</v>
      </c>
    </row>
    <row r="89" spans="1:22">
      <c r="A89" t="s">
        <v>567</v>
      </c>
      <c r="B89" s="52">
        <f>SUMIF(NPV_New!$A$99:$A$359,0,NPV_New!$F$99:$F$359)</f>
        <v>0</v>
      </c>
      <c r="C89" s="52">
        <f>SUMIF(NPV_New!$A$99:$A$359,1,NPV_New!$F$99:$F$359)</f>
        <v>868462.60398357292</v>
      </c>
      <c r="D89" s="52">
        <f>SUMIF(NPV_New!$A$99:$A$359,2,NPV_New!$F$99:$F$359)</f>
        <v>1736925.2079671458</v>
      </c>
      <c r="E89" s="52">
        <f>SUMIF(NPV_New!$A$99:$A$359,3,NPV_New!$F$99:$F$359)</f>
        <v>2605387.811950719</v>
      </c>
      <c r="F89" s="52">
        <f>SUMIF(NPV_New!$A$99:$A$359,4,NPV_New!$F$99:$F$359)</f>
        <v>2605387.811950719</v>
      </c>
      <c r="G89" s="52">
        <f>SUMIF(NPV_New!$A$99:$A$359,5,NPV_New!$F$99:$F$359)</f>
        <v>2605387.811950719</v>
      </c>
      <c r="H89" s="52">
        <f>SUMIF(NPV_New!$A$99:$A$359,6,NPV_New!$F$99:$F$359)</f>
        <v>2605387.811950719</v>
      </c>
      <c r="I89" s="52">
        <f>SUMIF(NPV_New!$A$99:$A$359,7,NPV_New!$F$99:$F$359)</f>
        <v>2605387.811950719</v>
      </c>
      <c r="J89" s="52">
        <f>SUMIF(NPV_New!$A$99:$A$359,8,NPV_New!$F$99:$F$359)</f>
        <v>2605387.811950719</v>
      </c>
      <c r="K89" s="52">
        <f>SUMIF(NPV_New!$A$99:$A$359,9,NPV_New!$F$99:$F$359)</f>
        <v>2605387.811950719</v>
      </c>
      <c r="L89" s="52">
        <f>SUMIF(NPV_New!$A$99:$A$359,10,NPV_New!$F$99:$F$359)</f>
        <v>2605387.811950719</v>
      </c>
      <c r="M89" s="52">
        <f>SUMIF(NPV_New!$A$99:$A$359,11,NPV_New!$F$99:$F$359)</f>
        <v>2605387.811950719</v>
      </c>
      <c r="N89" s="52">
        <f>SUMIF(NPV_New!$A$99:$A$359,12,NPV_New!$F$99:$F$359)</f>
        <v>2605387.811950719</v>
      </c>
      <c r="O89" s="52">
        <f>SUMIF(NPV_New!$A$99:$A$359,13,NPV_New!$F$99:$F$359)</f>
        <v>2605387.811950719</v>
      </c>
      <c r="P89" s="52">
        <f>SUMIF(NPV_New!$A$99:$A$359,14,NPV_New!$F$99:$F$359)</f>
        <v>2605387.811950719</v>
      </c>
      <c r="Q89" s="52">
        <f>SUMIF(NPV_New!$A$99:$A$359,15,NPV_New!$F$99:$F$359)</f>
        <v>2605387.811950719</v>
      </c>
      <c r="R89" s="52">
        <f>SUMIF(NPV_New!$A$99:$A$359,16,NPV_New!$F$99:$F$359)</f>
        <v>2605387.811950719</v>
      </c>
      <c r="S89" s="52">
        <f>SUMIF(NPV_New!$A$99:$A$359,17,NPV_New!$F$99:$F$359)</f>
        <v>2605387.811950719</v>
      </c>
      <c r="T89" s="52">
        <f>SUMIF(NPV_New!$A$99:$A$359,18,NPV_New!$F$99:$F$359)</f>
        <v>2605387.811950719</v>
      </c>
      <c r="U89" s="52">
        <f>SUMIF(NPV_New!$A$99:$A$359,19,NPV_New!$F$99:$F$359)</f>
        <v>2605387.811950719</v>
      </c>
      <c r="V89" s="52">
        <f>SUMIF(NPV_New!$A$99:$A$359,20,NPV_New!$F$99:$F$359)</f>
        <v>2605387.811950719</v>
      </c>
    </row>
    <row r="90" spans="1:22">
      <c r="A90" t="s">
        <v>568</v>
      </c>
      <c r="B90" s="60">
        <f>SUMIF(NPV_New!$A$99:$A$359,0,NPV_New!$H$99:$H$359)</f>
        <v>0</v>
      </c>
      <c r="C90" s="60">
        <f>SUMIF(NPV_New!$A$99:$A$359,1,NPV_New!$H$99:$H$359)</f>
        <v>827.10724188911718</v>
      </c>
      <c r="D90" s="60">
        <f>SUMIF(NPV_New!$A$99:$A$359,2,NPV_New!$H$99:$H$359)</f>
        <v>1654.2144837782344</v>
      </c>
      <c r="E90" s="60">
        <f>SUMIF(NPV_New!$A$99:$A$359,3,NPV_New!$H$99:$H$359)</f>
        <v>2481.3217256673515</v>
      </c>
      <c r="F90" s="60">
        <f>SUMIF(NPV_New!$A$99:$A$359,4,NPV_New!$H$99:$H$359)</f>
        <v>2481.3217256673515</v>
      </c>
      <c r="G90" s="60">
        <f>SUMIF(NPV_New!$A$99:$A$359,5,NPV_New!$H$99:$H$359)</f>
        <v>2481.3217256673515</v>
      </c>
      <c r="H90" s="60">
        <f>SUMIF(NPV_New!$A$99:$A$359,6,NPV_New!$H$99:$H$359)</f>
        <v>2481.3217256673515</v>
      </c>
      <c r="I90" s="60">
        <f>SUMIF(NPV_New!$A$99:$A$359,7,NPV_New!$H$99:$H$359)</f>
        <v>2481.3217256673515</v>
      </c>
      <c r="J90" s="60">
        <f>SUMIF(NPV_New!$A$99:$A$359,8,NPV_New!$H$99:$H$359)</f>
        <v>2481.3217256673515</v>
      </c>
      <c r="K90" s="60">
        <f>SUMIF(NPV_New!$A$99:$A$359,9,NPV_New!$H$99:$H$359)</f>
        <v>2481.3217256673515</v>
      </c>
      <c r="L90" s="60">
        <f>SUMIF(NPV_New!$A$99:$A$359,10,NPV_New!$H$99:$H$359)</f>
        <v>2481.3217256673515</v>
      </c>
      <c r="M90" s="60">
        <f>SUMIF(NPV_New!$A$99:$A$359,11,NPV_New!$H$99:$H$359)</f>
        <v>2481.3217256673515</v>
      </c>
      <c r="N90" s="60">
        <f>SUMIF(NPV_New!$A$99:$A$359,12,NPV_New!$H$99:$H$359)</f>
        <v>2481.3217256673515</v>
      </c>
      <c r="O90" s="60">
        <f>SUMIF(NPV_New!$A$99:$A$359,13,NPV_New!$H$99:$H$359)</f>
        <v>2481.3217256673515</v>
      </c>
      <c r="P90" s="60">
        <f>SUMIF(NPV_New!$A$99:$A$359,14,NPV_New!$H$99:$H$359)</f>
        <v>2481.3217256673515</v>
      </c>
      <c r="Q90" s="60">
        <f>SUMIF(NPV_New!$A$99:$A$359,15,NPV_New!$H$99:$H$359)</f>
        <v>2481.3217256673515</v>
      </c>
      <c r="R90" s="60">
        <f>SUMIF(NPV_New!$A$99:$A$359,16,NPV_New!$H$99:$H$359)</f>
        <v>2481.3217256673515</v>
      </c>
      <c r="S90" s="60">
        <f>SUMIF(NPV_New!$A$99:$A$359,17,NPV_New!$H$99:$H$359)</f>
        <v>2481.3217256673515</v>
      </c>
      <c r="T90" s="60">
        <f>SUMIF(NPV_New!$A$99:$A$359,18,NPV_New!$H$99:$H$359)</f>
        <v>2481.3217256673515</v>
      </c>
      <c r="U90" s="60">
        <f>SUMIF(NPV_New!$A$99:$A$359,19,NPV_New!$H$99:$H$359)</f>
        <v>2481.3217256673515</v>
      </c>
      <c r="V90" s="60">
        <f>SUMIF(NPV_New!$A$99:$A$359,20,NPV_New!$H$99:$H$359)</f>
        <v>2481.3217256673515</v>
      </c>
    </row>
    <row r="91" spans="1:22">
      <c r="A91" t="s">
        <v>569</v>
      </c>
      <c r="B91" s="60">
        <f>SUMIF(NPV_New!$A$99:$A$359,0,NPV_New!$G$99:$G$359)</f>
        <v>0</v>
      </c>
      <c r="C91" s="60">
        <f>SUMIF(NPV_New!$A$99:$A$359,1,NPV_New!$G$99:$G$359)</f>
        <v>82710.724188911714</v>
      </c>
      <c r="D91" s="60">
        <f>SUMIF(NPV_New!$A$99:$A$359,2,NPV_New!$G$99:$G$359)</f>
        <v>165421.44837782343</v>
      </c>
      <c r="E91" s="60">
        <f>SUMIF(NPV_New!$A$99:$A$359,3,NPV_New!$G$99:$G$359)</f>
        <v>248132.17256673516</v>
      </c>
      <c r="F91" s="60">
        <f>SUMIF(NPV_New!$A$99:$A$359,4,NPV_New!$G$99:$G$359)</f>
        <v>248132.17256673516</v>
      </c>
      <c r="G91" s="60">
        <f>SUMIF(NPV_New!$A$99:$A$359,5,NPV_New!$G$99:$G$359)</f>
        <v>248132.17256673516</v>
      </c>
      <c r="H91" s="60">
        <f>SUMIF(NPV_New!$A$99:$A$359,6,NPV_New!$G$99:$G$359)</f>
        <v>248132.17256673516</v>
      </c>
      <c r="I91" s="60">
        <f>SUMIF(NPV_New!$A$99:$A$359,7,NPV_New!$G$99:$G$359)</f>
        <v>248132.17256673516</v>
      </c>
      <c r="J91" s="60">
        <f>SUMIF(NPV_New!$A$99:$A$359,8,NPV_New!$G$99:$G$359)</f>
        <v>248132.17256673516</v>
      </c>
      <c r="K91" s="60">
        <f>SUMIF(NPV_New!$A$99:$A$359,9,NPV_New!$G$99:$G$359)</f>
        <v>248132.17256673516</v>
      </c>
      <c r="L91" s="60">
        <f>SUMIF(NPV_New!$A$99:$A$359,10,NPV_New!$G$99:$G$359)</f>
        <v>248132.17256673516</v>
      </c>
      <c r="M91" s="60">
        <f>SUMIF(NPV_New!$A$99:$A$359,11,NPV_New!$G$99:$G$359)</f>
        <v>248132.17256673516</v>
      </c>
      <c r="N91" s="60">
        <f>SUMIF(NPV_New!$A$99:$A$359,12,NPV_New!$G$99:$G$359)</f>
        <v>248132.17256673516</v>
      </c>
      <c r="O91" s="60">
        <f>SUMIF(NPV_New!$A$99:$A$359,13,NPV_New!$G$99:$G$359)</f>
        <v>248132.17256673516</v>
      </c>
      <c r="P91" s="60">
        <f>SUMIF(NPV_New!$A$99:$A$359,14,NPV_New!$G$99:$G$359)</f>
        <v>248132.17256673516</v>
      </c>
      <c r="Q91" s="60">
        <f>SUMIF(NPV_New!$A$99:$A$359,15,NPV_New!$G$99:$G$359)</f>
        <v>248132.17256673516</v>
      </c>
      <c r="R91" s="60">
        <f>SUMIF(NPV_New!$A$99:$A$359,16,NPV_New!$G$99:$G$359)</f>
        <v>248132.17256673516</v>
      </c>
      <c r="S91" s="60">
        <f>SUMIF(NPV_New!$A$99:$A$359,17,NPV_New!$G$99:$G$359)</f>
        <v>248132.17256673516</v>
      </c>
      <c r="T91" s="60">
        <f>SUMIF(NPV_New!$A$99:$A$359,18,NPV_New!$G$99:$G$359)</f>
        <v>248132.17256673516</v>
      </c>
      <c r="U91" s="60">
        <f>SUMIF(NPV_New!$A$99:$A$359,19,NPV_New!$G$99:$G$359)</f>
        <v>248132.17256673516</v>
      </c>
      <c r="V91" s="60">
        <f>SUMIF(NPV_New!$A$99:$A$359,20,NPV_New!$G$99:$G$359)</f>
        <v>248132.17256673516</v>
      </c>
    </row>
    <row r="93" spans="1:22">
      <c r="E93" t="s">
        <v>570</v>
      </c>
    </row>
    <row r="97" spans="1:31">
      <c r="B97" t="s">
        <v>249</v>
      </c>
    </row>
    <row r="98" spans="1:31">
      <c r="A98" s="5" t="s">
        <v>42</v>
      </c>
      <c r="B98" s="5" t="s">
        <v>571</v>
      </c>
      <c r="C98" s="5" t="s">
        <v>572</v>
      </c>
      <c r="D98" s="5" t="s">
        <v>573</v>
      </c>
      <c r="E98" s="5" t="s">
        <v>574</v>
      </c>
      <c r="F98" s="5" t="s">
        <v>575</v>
      </c>
      <c r="G98" s="5" t="s">
        <v>576</v>
      </c>
      <c r="H98" s="5" t="s">
        <v>577</v>
      </c>
      <c r="I98" s="5"/>
      <c r="J98" s="5"/>
      <c r="K98" s="5"/>
      <c r="L98" s="5"/>
      <c r="M98" s="5"/>
      <c r="N98" s="5"/>
      <c r="O98" s="5"/>
      <c r="P98" s="5"/>
      <c r="Q98" s="5"/>
      <c r="R98" s="5"/>
      <c r="S98" s="5"/>
      <c r="T98" s="5"/>
      <c r="U98" s="5"/>
      <c r="V98" s="5"/>
      <c r="W98" s="5"/>
      <c r="X98" s="5"/>
      <c r="Y98" s="5"/>
      <c r="Z98" s="5"/>
      <c r="AA98" s="5"/>
      <c r="AB98" s="5"/>
      <c r="AC98" s="5"/>
      <c r="AD98" s="5"/>
      <c r="AE98" s="5"/>
    </row>
    <row r="99" spans="1:31">
      <c r="A99">
        <v>0</v>
      </c>
      <c r="B99" s="24">
        <f>Inputs!$B$52</f>
        <v>10.5</v>
      </c>
      <c r="C99" s="58">
        <f>Inputs!$B$15</f>
        <v>0.1</v>
      </c>
      <c r="D99" s="58">
        <f>Inputs!$C$15</f>
        <v>1</v>
      </c>
      <c r="E99">
        <v>0</v>
      </c>
      <c r="F99" s="52">
        <f>((NPV_New!$D$18*$D99)*$C99)*(B99)*$E99</f>
        <v>0</v>
      </c>
      <c r="G99" s="61">
        <f>((NPV_New!$D$18*E99)*D99)*(C99)</f>
        <v>0</v>
      </c>
      <c r="H99">
        <f t="shared" ref="H99:H119" si="24">G99/100</f>
        <v>0</v>
      </c>
      <c r="I99" s="61"/>
      <c r="J99" s="148"/>
    </row>
    <row r="100" spans="1:31">
      <c r="A100">
        <v>1</v>
      </c>
      <c r="B100" s="24">
        <f>Inputs!$B$52</f>
        <v>10.5</v>
      </c>
      <c r="C100" s="58">
        <f>Inputs!$B$15</f>
        <v>0.1</v>
      </c>
      <c r="D100" s="58">
        <f>Inputs!$C$15</f>
        <v>1</v>
      </c>
      <c r="E100">
        <f>E102/3</f>
        <v>0.33333333333333331</v>
      </c>
      <c r="F100" s="52">
        <f>((NPV_New!$D$18*D100)*C100)*(B100)*E100</f>
        <v>868462.60398357292</v>
      </c>
      <c r="G100" s="61">
        <f>((NPV_New!$D$18*E100)*D100)*(C100)</f>
        <v>82710.724188911714</v>
      </c>
      <c r="H100">
        <f t="shared" si="24"/>
        <v>827.10724188911718</v>
      </c>
      <c r="I100" s="61"/>
      <c r="J100" s="5"/>
    </row>
    <row r="101" spans="1:31">
      <c r="A101">
        <v>2</v>
      </c>
      <c r="B101" s="24">
        <f>Inputs!$B$52</f>
        <v>10.5</v>
      </c>
      <c r="C101" s="58">
        <f>Inputs!$B$15</f>
        <v>0.1</v>
      </c>
      <c r="D101" s="58">
        <f>Inputs!$C$15</f>
        <v>1</v>
      </c>
      <c r="E101">
        <f>E102*(2/3)</f>
        <v>0.66666666666666663</v>
      </c>
      <c r="F101" s="52">
        <f>((NPV_New!$D$18*D101)*C101)*(B101)*E101</f>
        <v>1736925.2079671458</v>
      </c>
      <c r="G101" s="61">
        <f>((NPV_New!$D$18*E101)*D101)*(C101)</f>
        <v>165421.44837782343</v>
      </c>
      <c r="H101">
        <f t="shared" si="24"/>
        <v>1654.2144837782344</v>
      </c>
      <c r="I101" s="61"/>
      <c r="J101" s="5"/>
    </row>
    <row r="102" spans="1:31">
      <c r="A102">
        <v>3</v>
      </c>
      <c r="B102" s="24">
        <f>Inputs!$B$52</f>
        <v>10.5</v>
      </c>
      <c r="C102" s="58">
        <f>Inputs!$B$15</f>
        <v>0.1</v>
      </c>
      <c r="D102" s="58">
        <f>Inputs!$C$15</f>
        <v>1</v>
      </c>
      <c r="E102">
        <v>1</v>
      </c>
      <c r="F102" s="52">
        <f>((NPV_New!$D$18*D102)*C102)*(B102)*E102</f>
        <v>2605387.811950719</v>
      </c>
      <c r="G102" s="61">
        <f>((NPV_New!$D$18*E102)*D102)*(C102)</f>
        <v>248132.17256673516</v>
      </c>
      <c r="H102">
        <f t="shared" si="24"/>
        <v>2481.3217256673515</v>
      </c>
      <c r="I102" s="61"/>
      <c r="J102" s="5"/>
    </row>
    <row r="103" spans="1:31">
      <c r="A103">
        <v>4</v>
      </c>
      <c r="B103" s="24">
        <f>Inputs!$B$52</f>
        <v>10.5</v>
      </c>
      <c r="C103" s="58">
        <f>Inputs!$B$15</f>
        <v>0.1</v>
      </c>
      <c r="D103" s="58">
        <f>Inputs!$C$15</f>
        <v>1</v>
      </c>
      <c r="E103">
        <v>1</v>
      </c>
      <c r="F103" s="52">
        <f>((NPV_New!$D$18*D103)*C103)*(B103)*E103</f>
        <v>2605387.811950719</v>
      </c>
      <c r="G103" s="61">
        <f>((NPV_New!$D$18*E103)*D103)*(C103)</f>
        <v>248132.17256673516</v>
      </c>
      <c r="H103">
        <f t="shared" si="24"/>
        <v>2481.3217256673515</v>
      </c>
      <c r="I103" s="61"/>
      <c r="J103" s="5"/>
    </row>
    <row r="104" spans="1:31">
      <c r="A104">
        <v>5</v>
      </c>
      <c r="B104" s="24">
        <f>Inputs!$B$52</f>
        <v>10.5</v>
      </c>
      <c r="C104" s="58">
        <f>Inputs!$B$15</f>
        <v>0.1</v>
      </c>
      <c r="D104" s="58">
        <f>Inputs!$C$15</f>
        <v>1</v>
      </c>
      <c r="E104">
        <v>1</v>
      </c>
      <c r="F104" s="52">
        <f>((NPV_New!$D$18*D104)*C104)*(B104)*E104</f>
        <v>2605387.811950719</v>
      </c>
      <c r="G104" s="61">
        <f>((NPV_New!$D$18*E104)*D104)*(C104)</f>
        <v>248132.17256673516</v>
      </c>
      <c r="H104">
        <f t="shared" si="24"/>
        <v>2481.3217256673515</v>
      </c>
      <c r="I104" s="61"/>
      <c r="J104" s="5"/>
    </row>
    <row r="105" spans="1:31">
      <c r="A105">
        <v>6</v>
      </c>
      <c r="B105" s="24">
        <f>Inputs!$B$52</f>
        <v>10.5</v>
      </c>
      <c r="C105" s="58">
        <f>Inputs!$B$15</f>
        <v>0.1</v>
      </c>
      <c r="D105" s="58">
        <f>Inputs!$C$15</f>
        <v>1</v>
      </c>
      <c r="E105">
        <v>1</v>
      </c>
      <c r="F105" s="52">
        <f>((NPV_New!$D$18*D105)*C105)*(B105)*E105</f>
        <v>2605387.811950719</v>
      </c>
      <c r="G105" s="61">
        <f>((NPV_New!$D$18*E105)*D105)*(C105)</f>
        <v>248132.17256673516</v>
      </c>
      <c r="H105">
        <f t="shared" si="24"/>
        <v>2481.3217256673515</v>
      </c>
      <c r="I105" s="61"/>
      <c r="J105" s="5"/>
    </row>
    <row r="106" spans="1:31">
      <c r="A106">
        <v>7</v>
      </c>
      <c r="B106" s="24">
        <f>Inputs!$B$52</f>
        <v>10.5</v>
      </c>
      <c r="C106" s="58">
        <f>Inputs!$B$15</f>
        <v>0.1</v>
      </c>
      <c r="D106" s="58">
        <f>Inputs!$C$15</f>
        <v>1</v>
      </c>
      <c r="E106">
        <v>1</v>
      </c>
      <c r="F106" s="52">
        <f>((NPV_New!$D$18*D106)*C106)*(B106)*E106</f>
        <v>2605387.811950719</v>
      </c>
      <c r="G106" s="61">
        <f>((NPV_New!$D$18*E106)*D106)*(C106)</f>
        <v>248132.17256673516</v>
      </c>
      <c r="H106">
        <f t="shared" si="24"/>
        <v>2481.3217256673515</v>
      </c>
      <c r="I106" s="61"/>
      <c r="J106" s="5"/>
    </row>
    <row r="107" spans="1:31">
      <c r="A107">
        <v>8</v>
      </c>
      <c r="B107" s="24">
        <f>Inputs!$B$52</f>
        <v>10.5</v>
      </c>
      <c r="C107" s="58">
        <f>Inputs!$B$15</f>
        <v>0.1</v>
      </c>
      <c r="D107" s="58">
        <f>Inputs!$C$15</f>
        <v>1</v>
      </c>
      <c r="E107">
        <v>1</v>
      </c>
      <c r="F107" s="52">
        <f>((NPV_New!$D$18*D107)*C107)*(B107)*E107</f>
        <v>2605387.811950719</v>
      </c>
      <c r="G107" s="61">
        <f>((NPV_New!$D$18*E107)*D107)*(C107)</f>
        <v>248132.17256673516</v>
      </c>
      <c r="H107">
        <f t="shared" si="24"/>
        <v>2481.3217256673515</v>
      </c>
      <c r="I107" s="61"/>
      <c r="J107" s="5"/>
    </row>
    <row r="108" spans="1:31">
      <c r="A108">
        <v>9</v>
      </c>
      <c r="B108" s="24">
        <f>Inputs!$B$52</f>
        <v>10.5</v>
      </c>
      <c r="C108" s="58">
        <f>Inputs!$B$15</f>
        <v>0.1</v>
      </c>
      <c r="D108" s="58">
        <f>Inputs!$C$15</f>
        <v>1</v>
      </c>
      <c r="E108">
        <v>1</v>
      </c>
      <c r="F108" s="52">
        <f>((NPV_New!$D$18*D108)*C108)*(B108)*E108</f>
        <v>2605387.811950719</v>
      </c>
      <c r="G108" s="61">
        <f>((NPV_New!$D$18*E108)*D108)*(C108)</f>
        <v>248132.17256673516</v>
      </c>
      <c r="H108">
        <f t="shared" si="24"/>
        <v>2481.3217256673515</v>
      </c>
      <c r="I108" s="61"/>
      <c r="J108" s="5"/>
    </row>
    <row r="109" spans="1:31">
      <c r="A109">
        <v>10</v>
      </c>
      <c r="B109" s="24">
        <f>Inputs!$B$52</f>
        <v>10.5</v>
      </c>
      <c r="C109" s="58">
        <f>Inputs!$B$15</f>
        <v>0.1</v>
      </c>
      <c r="D109" s="58">
        <f>Inputs!$C$15</f>
        <v>1</v>
      </c>
      <c r="E109">
        <v>1</v>
      </c>
      <c r="F109" s="52">
        <f>((NPV_New!$D$18*D109)*C109)*(B109)*E109</f>
        <v>2605387.811950719</v>
      </c>
      <c r="G109" s="61">
        <f>((NPV_New!$D$18*E109)*D109)*(C109)</f>
        <v>248132.17256673516</v>
      </c>
      <c r="H109">
        <f t="shared" si="24"/>
        <v>2481.3217256673515</v>
      </c>
      <c r="I109" s="61"/>
      <c r="J109" s="5"/>
    </row>
    <row r="110" spans="1:31">
      <c r="A110">
        <v>11</v>
      </c>
      <c r="B110" s="24">
        <f>Inputs!$B$52</f>
        <v>10.5</v>
      </c>
      <c r="C110" s="58">
        <f>Inputs!$B$15</f>
        <v>0.1</v>
      </c>
      <c r="D110" s="58">
        <f>Inputs!$C$15</f>
        <v>1</v>
      </c>
      <c r="E110">
        <v>1</v>
      </c>
      <c r="F110" s="52">
        <f>((NPV_New!$D$18*D110)*C110)*(B110)*E110</f>
        <v>2605387.811950719</v>
      </c>
      <c r="G110" s="61">
        <f>((NPV_New!$D$18*E110)*D110)*(C110)</f>
        <v>248132.17256673516</v>
      </c>
      <c r="H110">
        <f t="shared" si="24"/>
        <v>2481.3217256673515</v>
      </c>
      <c r="I110" s="61"/>
    </row>
    <row r="111" spans="1:31">
      <c r="A111">
        <v>12</v>
      </c>
      <c r="B111" s="24">
        <f>Inputs!$B$52</f>
        <v>10.5</v>
      </c>
      <c r="C111" s="58">
        <f>Inputs!$B$15</f>
        <v>0.1</v>
      </c>
      <c r="D111" s="58">
        <f>Inputs!$C$15</f>
        <v>1</v>
      </c>
      <c r="E111">
        <v>1</v>
      </c>
      <c r="F111" s="52">
        <f>((NPV_New!$D$18*D111)*C111)*(B111)*E111</f>
        <v>2605387.811950719</v>
      </c>
      <c r="G111" s="61">
        <f>((NPV_New!$D$18*E111)*D111)*(C111)</f>
        <v>248132.17256673516</v>
      </c>
      <c r="H111">
        <f t="shared" si="24"/>
        <v>2481.3217256673515</v>
      </c>
      <c r="I111" s="61"/>
      <c r="J111" s="607" t="s">
        <v>578</v>
      </c>
      <c r="K111" s="607"/>
      <c r="L111" s="607"/>
      <c r="M111" s="607"/>
      <c r="N111" s="607"/>
      <c r="O111" s="607"/>
      <c r="P111" s="607"/>
      <c r="Q111" s="607"/>
      <c r="R111" s="607"/>
      <c r="S111" s="607"/>
      <c r="T111" s="607"/>
      <c r="U111" s="607"/>
    </row>
    <row r="112" spans="1:31">
      <c r="A112">
        <v>13</v>
      </c>
      <c r="B112" s="24">
        <f>Inputs!$B$52</f>
        <v>10.5</v>
      </c>
      <c r="C112" s="58">
        <f>Inputs!$B$15</f>
        <v>0.1</v>
      </c>
      <c r="D112" s="58">
        <f>Inputs!$C$15</f>
        <v>1</v>
      </c>
      <c r="E112">
        <v>1</v>
      </c>
      <c r="F112" s="52">
        <f>((NPV_New!$D$18*D112)*C112)*(B112)*E112</f>
        <v>2605387.811950719</v>
      </c>
      <c r="G112" s="61">
        <f>((NPV_New!$D$18*E112)*D112)*(C112)</f>
        <v>248132.17256673516</v>
      </c>
      <c r="H112">
        <f t="shared" si="24"/>
        <v>2481.3217256673515</v>
      </c>
      <c r="I112" s="61"/>
      <c r="J112" s="5"/>
      <c r="K112" s="149" t="s">
        <v>579</v>
      </c>
      <c r="L112" s="49" t="s">
        <v>580</v>
      </c>
      <c r="M112" s="49" t="s">
        <v>581</v>
      </c>
      <c r="N112" s="49" t="s">
        <v>582</v>
      </c>
      <c r="O112" s="49" t="s">
        <v>583</v>
      </c>
      <c r="P112" s="49" t="s">
        <v>584</v>
      </c>
      <c r="Q112" s="49" t="s">
        <v>585</v>
      </c>
      <c r="R112" s="49" t="s">
        <v>586</v>
      </c>
      <c r="S112" s="49" t="s">
        <v>587</v>
      </c>
      <c r="T112" s="49" t="s">
        <v>588</v>
      </c>
      <c r="U112" s="49" t="s">
        <v>589</v>
      </c>
    </row>
    <row r="113" spans="1:21">
      <c r="A113">
        <v>14</v>
      </c>
      <c r="B113" s="24">
        <f>Inputs!$B$52</f>
        <v>10.5</v>
      </c>
      <c r="C113" s="58">
        <f>Inputs!$B$15</f>
        <v>0.1</v>
      </c>
      <c r="D113" s="58">
        <f>Inputs!$C$15</f>
        <v>1</v>
      </c>
      <c r="E113">
        <v>1</v>
      </c>
      <c r="F113" s="52">
        <f>((NPV_New!$D$18*D113)*C113)*(B113)*E113</f>
        <v>2605387.811950719</v>
      </c>
      <c r="G113" s="61">
        <f>((NPV_New!$D$18*E113)*D113)*(C113)</f>
        <v>248132.17256673516</v>
      </c>
      <c r="H113">
        <f t="shared" si="24"/>
        <v>2481.3217256673515</v>
      </c>
      <c r="I113" s="61"/>
      <c r="J113" s="5" t="s">
        <v>590</v>
      </c>
      <c r="K113" s="150">
        <f>G99</f>
        <v>0</v>
      </c>
      <c r="L113" s="151">
        <f>G123</f>
        <v>0</v>
      </c>
      <c r="M113" s="151">
        <f>G147</f>
        <v>0</v>
      </c>
      <c r="N113" s="151">
        <f>G171</f>
        <v>0</v>
      </c>
      <c r="O113" s="151">
        <f>G195</f>
        <v>0</v>
      </c>
      <c r="P113" s="151">
        <f>G219</f>
        <v>0</v>
      </c>
      <c r="Q113" s="151">
        <f>G243</f>
        <v>0</v>
      </c>
      <c r="R113" s="151">
        <f>G267</f>
        <v>0</v>
      </c>
      <c r="S113" s="151">
        <f>G291</f>
        <v>0</v>
      </c>
      <c r="T113" s="151">
        <f>G315</f>
        <v>0</v>
      </c>
      <c r="U113" s="151">
        <f>G339</f>
        <v>0</v>
      </c>
    </row>
    <row r="114" spans="1:21">
      <c r="A114">
        <v>15</v>
      </c>
      <c r="B114" s="24">
        <f>Inputs!$B$52</f>
        <v>10.5</v>
      </c>
      <c r="C114" s="58">
        <f>Inputs!$B$15</f>
        <v>0.1</v>
      </c>
      <c r="D114" s="58">
        <f>Inputs!$C$15</f>
        <v>1</v>
      </c>
      <c r="E114">
        <v>1</v>
      </c>
      <c r="F114" s="52">
        <f>((NPV_New!$D$18*D114)*C114)*(B114)*E114</f>
        <v>2605387.811950719</v>
      </c>
      <c r="G114" s="61">
        <f>((NPV_New!$D$18*E114)*D114)*(C114)</f>
        <v>248132.17256673516</v>
      </c>
      <c r="H114">
        <f t="shared" si="24"/>
        <v>2481.3217256673515</v>
      </c>
      <c r="I114" s="61"/>
      <c r="J114" s="5" t="s">
        <v>445</v>
      </c>
      <c r="K114" s="150">
        <f t="shared" ref="K114:K133" si="25">G100</f>
        <v>82710.724188911714</v>
      </c>
      <c r="L114" s="151">
        <f t="shared" ref="L114:L133" si="26">G124</f>
        <v>0</v>
      </c>
      <c r="M114" s="151">
        <f t="shared" ref="M114:M133" si="27">G148</f>
        <v>0</v>
      </c>
      <c r="N114" s="151">
        <f t="shared" ref="N114:N133" si="28">G172</f>
        <v>0</v>
      </c>
      <c r="O114" s="151">
        <f t="shared" ref="O114:O133" si="29">G196</f>
        <v>0</v>
      </c>
      <c r="P114" s="151">
        <f t="shared" ref="P114:P133" si="30">G220</f>
        <v>0</v>
      </c>
      <c r="Q114" s="151">
        <f t="shared" ref="Q114:Q133" si="31">G244</f>
        <v>0</v>
      </c>
      <c r="R114" s="151">
        <f t="shared" ref="R114:R133" si="32">G268</f>
        <v>0</v>
      </c>
      <c r="S114" s="151">
        <f t="shared" ref="S114:S133" si="33">G292</f>
        <v>0</v>
      </c>
      <c r="T114" s="151">
        <f t="shared" ref="T114:T133" si="34">G316</f>
        <v>0</v>
      </c>
      <c r="U114" s="151">
        <f t="shared" ref="U114:U133" si="35">G340</f>
        <v>0</v>
      </c>
    </row>
    <row r="115" spans="1:21">
      <c r="A115">
        <v>16</v>
      </c>
      <c r="B115" s="24">
        <f>Inputs!$B$52</f>
        <v>10.5</v>
      </c>
      <c r="C115" s="58">
        <f>Inputs!$B$15</f>
        <v>0.1</v>
      </c>
      <c r="D115" s="58">
        <f>Inputs!$C$15</f>
        <v>1</v>
      </c>
      <c r="E115">
        <v>1</v>
      </c>
      <c r="F115" s="52">
        <f>((NPV_New!$D$18*D115)*C115)*(B115)*E115</f>
        <v>2605387.811950719</v>
      </c>
      <c r="G115" s="61">
        <f>((NPV_New!$D$18*E115)*D115)*(C115)</f>
        <v>248132.17256673516</v>
      </c>
      <c r="H115">
        <f t="shared" si="24"/>
        <v>2481.3217256673515</v>
      </c>
      <c r="I115" s="61"/>
      <c r="J115" s="5" t="s">
        <v>446</v>
      </c>
      <c r="K115" s="150">
        <f t="shared" si="25"/>
        <v>165421.44837782343</v>
      </c>
      <c r="L115" s="151">
        <f t="shared" si="26"/>
        <v>0</v>
      </c>
      <c r="M115" s="151">
        <f t="shared" si="27"/>
        <v>0</v>
      </c>
      <c r="N115" s="151">
        <f t="shared" si="28"/>
        <v>0</v>
      </c>
      <c r="O115" s="151">
        <f t="shared" si="29"/>
        <v>0</v>
      </c>
      <c r="P115" s="151">
        <f t="shared" si="30"/>
        <v>0</v>
      </c>
      <c r="Q115" s="151">
        <f t="shared" si="31"/>
        <v>0</v>
      </c>
      <c r="R115" s="151">
        <f t="shared" si="32"/>
        <v>0</v>
      </c>
      <c r="S115" s="151">
        <f t="shared" si="33"/>
        <v>0</v>
      </c>
      <c r="T115" s="151">
        <f t="shared" si="34"/>
        <v>0</v>
      </c>
      <c r="U115" s="151">
        <f t="shared" si="35"/>
        <v>0</v>
      </c>
    </row>
    <row r="116" spans="1:21">
      <c r="A116">
        <v>17</v>
      </c>
      <c r="B116" s="24">
        <f>Inputs!$B$52</f>
        <v>10.5</v>
      </c>
      <c r="C116" s="58">
        <f>Inputs!$B$15</f>
        <v>0.1</v>
      </c>
      <c r="D116" s="58">
        <f>Inputs!$C$15</f>
        <v>1</v>
      </c>
      <c r="E116">
        <v>1</v>
      </c>
      <c r="F116" s="52">
        <f>((NPV_New!$D$18*D116)*C116)*(B116)*E116</f>
        <v>2605387.811950719</v>
      </c>
      <c r="G116" s="61">
        <f>((NPV_New!$D$18*E116)*D116)*(C116)</f>
        <v>248132.17256673516</v>
      </c>
      <c r="H116">
        <f t="shared" si="24"/>
        <v>2481.3217256673515</v>
      </c>
      <c r="I116" s="61"/>
      <c r="J116" s="5" t="s">
        <v>447</v>
      </c>
      <c r="K116" s="150">
        <f t="shared" si="25"/>
        <v>248132.17256673516</v>
      </c>
      <c r="L116" s="151">
        <f t="shared" si="26"/>
        <v>0</v>
      </c>
      <c r="M116" s="151">
        <f t="shared" si="27"/>
        <v>0</v>
      </c>
      <c r="N116" s="151">
        <f t="shared" si="28"/>
        <v>0</v>
      </c>
      <c r="O116" s="151">
        <f t="shared" si="29"/>
        <v>0</v>
      </c>
      <c r="P116" s="151">
        <f t="shared" si="30"/>
        <v>0</v>
      </c>
      <c r="Q116" s="151">
        <f t="shared" si="31"/>
        <v>0</v>
      </c>
      <c r="R116" s="151">
        <f t="shared" si="32"/>
        <v>0</v>
      </c>
      <c r="S116" s="151">
        <f t="shared" si="33"/>
        <v>0</v>
      </c>
      <c r="T116" s="151">
        <f t="shared" si="34"/>
        <v>0</v>
      </c>
      <c r="U116" s="151">
        <f t="shared" si="35"/>
        <v>0</v>
      </c>
    </row>
    <row r="117" spans="1:21">
      <c r="A117">
        <v>18</v>
      </c>
      <c r="B117" s="24">
        <f>Inputs!$B$52</f>
        <v>10.5</v>
      </c>
      <c r="C117" s="58">
        <f>Inputs!$B$15</f>
        <v>0.1</v>
      </c>
      <c r="D117" s="58">
        <f>Inputs!$C$15</f>
        <v>1</v>
      </c>
      <c r="E117">
        <v>1</v>
      </c>
      <c r="F117" s="52">
        <f>((NPV_New!$D$18*D117)*C117)*(B117)*E117</f>
        <v>2605387.811950719</v>
      </c>
      <c r="G117" s="61">
        <f>((NPV_New!$D$18*E117)*D117)*(C117)</f>
        <v>248132.17256673516</v>
      </c>
      <c r="H117">
        <f t="shared" si="24"/>
        <v>2481.3217256673515</v>
      </c>
      <c r="I117" s="61"/>
      <c r="J117" s="5" t="s">
        <v>448</v>
      </c>
      <c r="K117" s="150">
        <f t="shared" si="25"/>
        <v>248132.17256673516</v>
      </c>
      <c r="L117" s="151">
        <f t="shared" si="26"/>
        <v>0</v>
      </c>
      <c r="M117" s="151">
        <f t="shared" si="27"/>
        <v>0</v>
      </c>
      <c r="N117" s="151">
        <f t="shared" si="28"/>
        <v>0</v>
      </c>
      <c r="O117" s="151">
        <f t="shared" si="29"/>
        <v>0</v>
      </c>
      <c r="P117" s="151">
        <f t="shared" si="30"/>
        <v>0</v>
      </c>
      <c r="Q117" s="151">
        <f t="shared" si="31"/>
        <v>0</v>
      </c>
      <c r="R117" s="151">
        <f t="shared" si="32"/>
        <v>0</v>
      </c>
      <c r="S117" s="151">
        <f t="shared" si="33"/>
        <v>0</v>
      </c>
      <c r="T117" s="151">
        <f t="shared" si="34"/>
        <v>0</v>
      </c>
      <c r="U117" s="151">
        <f t="shared" si="35"/>
        <v>0</v>
      </c>
    </row>
    <row r="118" spans="1:21">
      <c r="A118">
        <v>19</v>
      </c>
      <c r="B118" s="24">
        <f>Inputs!$B$52</f>
        <v>10.5</v>
      </c>
      <c r="C118" s="58">
        <f>Inputs!$B$15</f>
        <v>0.1</v>
      </c>
      <c r="D118" s="58">
        <f>Inputs!$C$15</f>
        <v>1</v>
      </c>
      <c r="E118">
        <v>1</v>
      </c>
      <c r="F118" s="52">
        <f>((NPV_New!$D$18*D118)*C118)*(B118)*E118</f>
        <v>2605387.811950719</v>
      </c>
      <c r="G118" s="61">
        <f>((NPV_New!$D$18*E118)*D118)*(C118)</f>
        <v>248132.17256673516</v>
      </c>
      <c r="H118">
        <f t="shared" si="24"/>
        <v>2481.3217256673515</v>
      </c>
      <c r="I118" s="61"/>
      <c r="J118" s="5" t="s">
        <v>449</v>
      </c>
      <c r="K118" s="150">
        <f t="shared" si="25"/>
        <v>248132.17256673516</v>
      </c>
      <c r="L118" s="151">
        <f t="shared" si="26"/>
        <v>0</v>
      </c>
      <c r="M118" s="151">
        <f t="shared" si="27"/>
        <v>0</v>
      </c>
      <c r="N118" s="151">
        <f t="shared" si="28"/>
        <v>0</v>
      </c>
      <c r="O118" s="151">
        <f t="shared" si="29"/>
        <v>0</v>
      </c>
      <c r="P118" s="151">
        <f t="shared" si="30"/>
        <v>0</v>
      </c>
      <c r="Q118" s="151">
        <f t="shared" si="31"/>
        <v>0</v>
      </c>
      <c r="R118" s="151">
        <f t="shared" si="32"/>
        <v>0</v>
      </c>
      <c r="S118" s="151">
        <f t="shared" si="33"/>
        <v>0</v>
      </c>
      <c r="T118" s="151">
        <f t="shared" si="34"/>
        <v>0</v>
      </c>
      <c r="U118" s="151">
        <f t="shared" si="35"/>
        <v>0</v>
      </c>
    </row>
    <row r="119" spans="1:21">
      <c r="A119">
        <v>20</v>
      </c>
      <c r="B119" s="24">
        <f>Inputs!$B$52</f>
        <v>10.5</v>
      </c>
      <c r="C119" s="58">
        <f>Inputs!$B$15</f>
        <v>0.1</v>
      </c>
      <c r="D119" s="58">
        <f>Inputs!$C$15</f>
        <v>1</v>
      </c>
      <c r="E119">
        <v>1</v>
      </c>
      <c r="F119" s="52">
        <f>((NPV_New!$D$18*D119)*C119)*(B119)*E119</f>
        <v>2605387.811950719</v>
      </c>
      <c r="G119" s="61">
        <f>((NPV_New!$D$18*E119)*D119)*(C119)</f>
        <v>248132.17256673516</v>
      </c>
      <c r="H119">
        <f t="shared" si="24"/>
        <v>2481.3217256673515</v>
      </c>
      <c r="I119" s="61"/>
      <c r="J119" s="5" t="s">
        <v>450</v>
      </c>
      <c r="K119" s="150">
        <f t="shared" si="25"/>
        <v>248132.17256673516</v>
      </c>
      <c r="L119" s="151">
        <f t="shared" si="26"/>
        <v>0</v>
      </c>
      <c r="M119" s="151">
        <f t="shared" si="27"/>
        <v>0</v>
      </c>
      <c r="N119" s="151">
        <f t="shared" si="28"/>
        <v>0</v>
      </c>
      <c r="O119" s="151">
        <f t="shared" si="29"/>
        <v>0</v>
      </c>
      <c r="P119" s="151">
        <f t="shared" si="30"/>
        <v>0</v>
      </c>
      <c r="Q119" s="151">
        <f t="shared" si="31"/>
        <v>0</v>
      </c>
      <c r="R119" s="151">
        <f t="shared" si="32"/>
        <v>0</v>
      </c>
      <c r="S119" s="151">
        <f t="shared" si="33"/>
        <v>0</v>
      </c>
      <c r="T119" s="151">
        <f t="shared" si="34"/>
        <v>0</v>
      </c>
      <c r="U119" s="151">
        <f t="shared" si="35"/>
        <v>0</v>
      </c>
    </row>
    <row r="120" spans="1:21">
      <c r="G120" s="60"/>
      <c r="J120" s="5" t="s">
        <v>451</v>
      </c>
      <c r="K120" s="150">
        <f t="shared" si="25"/>
        <v>248132.17256673516</v>
      </c>
      <c r="L120" s="151">
        <f t="shared" si="26"/>
        <v>0</v>
      </c>
      <c r="M120" s="151">
        <f t="shared" si="27"/>
        <v>0</v>
      </c>
      <c r="N120" s="151">
        <f t="shared" si="28"/>
        <v>0</v>
      </c>
      <c r="O120" s="151">
        <f t="shared" si="29"/>
        <v>0</v>
      </c>
      <c r="P120" s="151">
        <f t="shared" si="30"/>
        <v>0</v>
      </c>
      <c r="Q120" s="151">
        <f t="shared" si="31"/>
        <v>0</v>
      </c>
      <c r="R120" s="151">
        <f t="shared" si="32"/>
        <v>0</v>
      </c>
      <c r="S120" s="151">
        <f t="shared" si="33"/>
        <v>0</v>
      </c>
      <c r="T120" s="151">
        <f t="shared" si="34"/>
        <v>0</v>
      </c>
      <c r="U120" s="151">
        <f t="shared" si="35"/>
        <v>0</v>
      </c>
    </row>
    <row r="121" spans="1:21">
      <c r="G121" s="60"/>
      <c r="J121" s="5" t="s">
        <v>452</v>
      </c>
      <c r="K121" s="150">
        <f t="shared" si="25"/>
        <v>248132.17256673516</v>
      </c>
      <c r="L121" s="151">
        <f t="shared" si="26"/>
        <v>0</v>
      </c>
      <c r="M121" s="151">
        <f t="shared" si="27"/>
        <v>0</v>
      </c>
      <c r="N121" s="151">
        <f t="shared" si="28"/>
        <v>0</v>
      </c>
      <c r="O121" s="151">
        <f t="shared" si="29"/>
        <v>0</v>
      </c>
      <c r="P121" s="151">
        <f t="shared" si="30"/>
        <v>0</v>
      </c>
      <c r="Q121" s="151">
        <f t="shared" si="31"/>
        <v>0</v>
      </c>
      <c r="R121" s="151">
        <f t="shared" si="32"/>
        <v>0</v>
      </c>
      <c r="S121" s="151">
        <f t="shared" si="33"/>
        <v>0</v>
      </c>
      <c r="T121" s="151">
        <f t="shared" si="34"/>
        <v>0</v>
      </c>
      <c r="U121" s="151">
        <f t="shared" si="35"/>
        <v>0</v>
      </c>
    </row>
    <row r="122" spans="1:21">
      <c r="A122" s="5" t="s">
        <v>45</v>
      </c>
      <c r="B122" s="5" t="s">
        <v>571</v>
      </c>
      <c r="C122" s="5" t="s">
        <v>572</v>
      </c>
      <c r="D122" s="5" t="s">
        <v>573</v>
      </c>
      <c r="E122" s="5" t="s">
        <v>574</v>
      </c>
      <c r="F122" s="5" t="s">
        <v>575</v>
      </c>
      <c r="G122" s="5" t="s">
        <v>576</v>
      </c>
      <c r="H122" s="5" t="s">
        <v>577</v>
      </c>
      <c r="J122" s="5" t="s">
        <v>453</v>
      </c>
      <c r="K122" s="150">
        <f t="shared" si="25"/>
        <v>248132.17256673516</v>
      </c>
      <c r="L122" s="151">
        <f t="shared" si="26"/>
        <v>0</v>
      </c>
      <c r="M122" s="151">
        <f t="shared" si="27"/>
        <v>0</v>
      </c>
      <c r="N122" s="151">
        <f t="shared" si="28"/>
        <v>0</v>
      </c>
      <c r="O122" s="151">
        <f t="shared" si="29"/>
        <v>0</v>
      </c>
      <c r="P122" s="151">
        <f t="shared" si="30"/>
        <v>0</v>
      </c>
      <c r="Q122" s="151">
        <f t="shared" si="31"/>
        <v>0</v>
      </c>
      <c r="R122" s="151">
        <f t="shared" si="32"/>
        <v>0</v>
      </c>
      <c r="S122" s="151">
        <f t="shared" si="33"/>
        <v>0</v>
      </c>
      <c r="T122" s="151">
        <f t="shared" si="34"/>
        <v>0</v>
      </c>
      <c r="U122" s="151">
        <f t="shared" si="35"/>
        <v>0</v>
      </c>
    </row>
    <row r="123" spans="1:21">
      <c r="A123">
        <v>0</v>
      </c>
      <c r="B123" s="24">
        <f>Inputs!$B$53</f>
        <v>0</v>
      </c>
      <c r="C123" s="58">
        <f>Inputs!$B$16</f>
        <v>0.11</v>
      </c>
      <c r="D123" s="58">
        <f>Inputs!$C$16</f>
        <v>0</v>
      </c>
      <c r="E123">
        <v>0</v>
      </c>
      <c r="F123" s="52">
        <f>((NPV_New!$D$18*D123)*C123)*(B123)*E123</f>
        <v>0</v>
      </c>
      <c r="G123" s="60">
        <f>((NPV_New!$D$18*E123)*D123)*(C123)</f>
        <v>0</v>
      </c>
      <c r="H123">
        <f t="shared" ref="H123:H143" si="36">G123/100</f>
        <v>0</v>
      </c>
      <c r="J123" s="5" t="s">
        <v>454</v>
      </c>
      <c r="K123" s="150">
        <f t="shared" si="25"/>
        <v>248132.17256673516</v>
      </c>
      <c r="L123" s="151">
        <f t="shared" si="26"/>
        <v>0</v>
      </c>
      <c r="M123" s="151">
        <f t="shared" si="27"/>
        <v>0</v>
      </c>
      <c r="N123" s="151">
        <f t="shared" si="28"/>
        <v>0</v>
      </c>
      <c r="O123" s="151">
        <f t="shared" si="29"/>
        <v>0</v>
      </c>
      <c r="P123" s="151">
        <f t="shared" si="30"/>
        <v>0</v>
      </c>
      <c r="Q123" s="151">
        <f t="shared" si="31"/>
        <v>0</v>
      </c>
      <c r="R123" s="151">
        <f t="shared" si="32"/>
        <v>0</v>
      </c>
      <c r="S123" s="151">
        <f t="shared" si="33"/>
        <v>0</v>
      </c>
      <c r="T123" s="151">
        <f t="shared" si="34"/>
        <v>0</v>
      </c>
      <c r="U123" s="151">
        <f t="shared" si="35"/>
        <v>0</v>
      </c>
    </row>
    <row r="124" spans="1:21">
      <c r="A124">
        <v>1</v>
      </c>
      <c r="B124" s="24">
        <f>Inputs!$B$53</f>
        <v>0</v>
      </c>
      <c r="C124" s="58">
        <f>Inputs!$B$16</f>
        <v>0.11</v>
      </c>
      <c r="D124" s="58">
        <f>Inputs!$C$16</f>
        <v>0</v>
      </c>
      <c r="E124">
        <f>E126/3</f>
        <v>0.33333333333333331</v>
      </c>
      <c r="F124" s="52">
        <f>((NPV_New!$D$18*D124)*C124)*(B124)*E124</f>
        <v>0</v>
      </c>
      <c r="G124" s="60">
        <f>((NPV_New!$D$18*E124)*D124)*(C124)</f>
        <v>0</v>
      </c>
      <c r="H124">
        <f t="shared" si="36"/>
        <v>0</v>
      </c>
      <c r="J124" s="5" t="s">
        <v>455</v>
      </c>
      <c r="K124" s="150">
        <f t="shared" si="25"/>
        <v>248132.17256673516</v>
      </c>
      <c r="L124" s="151">
        <f t="shared" si="26"/>
        <v>0</v>
      </c>
      <c r="M124" s="151">
        <f t="shared" si="27"/>
        <v>0</v>
      </c>
      <c r="N124" s="151">
        <f t="shared" si="28"/>
        <v>0</v>
      </c>
      <c r="O124" s="151">
        <f t="shared" si="29"/>
        <v>0</v>
      </c>
      <c r="P124" s="151">
        <f t="shared" si="30"/>
        <v>0</v>
      </c>
      <c r="Q124" s="151">
        <f t="shared" si="31"/>
        <v>0</v>
      </c>
      <c r="R124" s="151">
        <f t="shared" si="32"/>
        <v>0</v>
      </c>
      <c r="S124" s="151">
        <f t="shared" si="33"/>
        <v>0</v>
      </c>
      <c r="T124" s="151">
        <f t="shared" si="34"/>
        <v>0</v>
      </c>
      <c r="U124" s="151">
        <f t="shared" si="35"/>
        <v>0</v>
      </c>
    </row>
    <row r="125" spans="1:21">
      <c r="A125">
        <v>2</v>
      </c>
      <c r="B125" s="24">
        <f>Inputs!$B$53</f>
        <v>0</v>
      </c>
      <c r="C125" s="58">
        <f>Inputs!$B$16</f>
        <v>0.11</v>
      </c>
      <c r="D125" s="58">
        <f>Inputs!$C$16</f>
        <v>0</v>
      </c>
      <c r="E125">
        <f>E126*(2/3)</f>
        <v>0.66666666666666663</v>
      </c>
      <c r="F125" s="52">
        <f>((NPV_New!$D$18*D125)*C125)*(B125)*E125</f>
        <v>0</v>
      </c>
      <c r="G125" s="60">
        <f>((NPV_New!$D$18*E125)*D125)*(C125)</f>
        <v>0</v>
      </c>
      <c r="H125">
        <f t="shared" si="36"/>
        <v>0</v>
      </c>
      <c r="J125" s="5" t="s">
        <v>456</v>
      </c>
      <c r="K125" s="150">
        <f t="shared" si="25"/>
        <v>248132.17256673516</v>
      </c>
      <c r="L125" s="151">
        <f t="shared" si="26"/>
        <v>0</v>
      </c>
      <c r="M125" s="151">
        <f t="shared" si="27"/>
        <v>0</v>
      </c>
      <c r="N125" s="151">
        <f t="shared" si="28"/>
        <v>0</v>
      </c>
      <c r="O125" s="151">
        <f t="shared" si="29"/>
        <v>0</v>
      </c>
      <c r="P125" s="151">
        <f t="shared" si="30"/>
        <v>0</v>
      </c>
      <c r="Q125" s="151">
        <f t="shared" si="31"/>
        <v>0</v>
      </c>
      <c r="R125" s="151">
        <f t="shared" si="32"/>
        <v>0</v>
      </c>
      <c r="S125" s="151">
        <f t="shared" si="33"/>
        <v>0</v>
      </c>
      <c r="T125" s="151">
        <f t="shared" si="34"/>
        <v>0</v>
      </c>
      <c r="U125" s="151">
        <f t="shared" si="35"/>
        <v>0</v>
      </c>
    </row>
    <row r="126" spans="1:21">
      <c r="A126">
        <v>3</v>
      </c>
      <c r="B126" s="24">
        <f>Inputs!$B$53</f>
        <v>0</v>
      </c>
      <c r="C126" s="58">
        <f>Inputs!$B$16</f>
        <v>0.11</v>
      </c>
      <c r="D126" s="58">
        <f>Inputs!$C$16</f>
        <v>0</v>
      </c>
      <c r="E126">
        <v>1</v>
      </c>
      <c r="F126" s="52">
        <f>((NPV_New!$D$18*D126)*C126)*(B126)*E126</f>
        <v>0</v>
      </c>
      <c r="G126" s="60">
        <f>((NPV_New!$D$18*E126)*D126)*(C126)</f>
        <v>0</v>
      </c>
      <c r="H126">
        <f t="shared" si="36"/>
        <v>0</v>
      </c>
      <c r="J126" s="5" t="s">
        <v>457</v>
      </c>
      <c r="K126" s="150">
        <f t="shared" si="25"/>
        <v>248132.17256673516</v>
      </c>
      <c r="L126" s="151">
        <f t="shared" si="26"/>
        <v>0</v>
      </c>
      <c r="M126" s="151">
        <f t="shared" si="27"/>
        <v>0</v>
      </c>
      <c r="N126" s="151">
        <f t="shared" si="28"/>
        <v>0</v>
      </c>
      <c r="O126" s="151">
        <f t="shared" si="29"/>
        <v>0</v>
      </c>
      <c r="P126" s="151">
        <f t="shared" si="30"/>
        <v>0</v>
      </c>
      <c r="Q126" s="151">
        <f t="shared" si="31"/>
        <v>0</v>
      </c>
      <c r="R126" s="151">
        <f t="shared" si="32"/>
        <v>0</v>
      </c>
      <c r="S126" s="151">
        <f t="shared" si="33"/>
        <v>0</v>
      </c>
      <c r="T126" s="151">
        <f t="shared" si="34"/>
        <v>0</v>
      </c>
      <c r="U126" s="151">
        <f t="shared" si="35"/>
        <v>0</v>
      </c>
    </row>
    <row r="127" spans="1:21">
      <c r="A127">
        <v>4</v>
      </c>
      <c r="B127" s="24">
        <f>Inputs!$B$53</f>
        <v>0</v>
      </c>
      <c r="C127" s="58">
        <f>Inputs!$B$16</f>
        <v>0.11</v>
      </c>
      <c r="D127" s="58">
        <f>Inputs!$C$16</f>
        <v>0</v>
      </c>
      <c r="E127">
        <v>1</v>
      </c>
      <c r="F127" s="52">
        <f>((NPV_New!$D$18*D127)*C127)*(B127)*E127</f>
        <v>0</v>
      </c>
      <c r="G127" s="60">
        <f>((NPV_New!$D$18*E127)*D127)*(C127)</f>
        <v>0</v>
      </c>
      <c r="H127">
        <f t="shared" si="36"/>
        <v>0</v>
      </c>
      <c r="J127" s="5" t="s">
        <v>458</v>
      </c>
      <c r="K127" s="150">
        <f t="shared" si="25"/>
        <v>248132.17256673516</v>
      </c>
      <c r="L127" s="151">
        <f t="shared" si="26"/>
        <v>0</v>
      </c>
      <c r="M127" s="151">
        <f t="shared" si="27"/>
        <v>0</v>
      </c>
      <c r="N127" s="151">
        <f t="shared" si="28"/>
        <v>0</v>
      </c>
      <c r="O127" s="151">
        <f t="shared" si="29"/>
        <v>0</v>
      </c>
      <c r="P127" s="151">
        <f t="shared" si="30"/>
        <v>0</v>
      </c>
      <c r="Q127" s="151">
        <f t="shared" si="31"/>
        <v>0</v>
      </c>
      <c r="R127" s="151">
        <f t="shared" si="32"/>
        <v>0</v>
      </c>
      <c r="S127" s="151">
        <f t="shared" si="33"/>
        <v>0</v>
      </c>
      <c r="T127" s="151">
        <f t="shared" si="34"/>
        <v>0</v>
      </c>
      <c r="U127" s="151">
        <f t="shared" si="35"/>
        <v>0</v>
      </c>
    </row>
    <row r="128" spans="1:21">
      <c r="A128">
        <v>5</v>
      </c>
      <c r="B128" s="24">
        <f>Inputs!$B$53</f>
        <v>0</v>
      </c>
      <c r="C128" s="58">
        <f>Inputs!$B$16</f>
        <v>0.11</v>
      </c>
      <c r="D128" s="58">
        <f>Inputs!$C$16</f>
        <v>0</v>
      </c>
      <c r="E128">
        <v>1</v>
      </c>
      <c r="F128" s="52">
        <f>((NPV_New!$D$18*D128)*C128)*(B128)*E128</f>
        <v>0</v>
      </c>
      <c r="G128" s="60">
        <f>((NPV_New!$D$18*E128)*D128)*(C128)</f>
        <v>0</v>
      </c>
      <c r="H128">
        <f t="shared" si="36"/>
        <v>0</v>
      </c>
      <c r="J128" s="5" t="s">
        <v>459</v>
      </c>
      <c r="K128" s="150">
        <f t="shared" si="25"/>
        <v>248132.17256673516</v>
      </c>
      <c r="L128" s="151">
        <f t="shared" si="26"/>
        <v>0</v>
      </c>
      <c r="M128" s="151">
        <f t="shared" si="27"/>
        <v>0</v>
      </c>
      <c r="N128" s="151">
        <f t="shared" si="28"/>
        <v>0</v>
      </c>
      <c r="O128" s="151">
        <f t="shared" si="29"/>
        <v>0</v>
      </c>
      <c r="P128" s="151">
        <f t="shared" si="30"/>
        <v>0</v>
      </c>
      <c r="Q128" s="151">
        <f t="shared" si="31"/>
        <v>0</v>
      </c>
      <c r="R128" s="151">
        <f t="shared" si="32"/>
        <v>0</v>
      </c>
      <c r="S128" s="151">
        <f t="shared" si="33"/>
        <v>0</v>
      </c>
      <c r="T128" s="151">
        <f t="shared" si="34"/>
        <v>0</v>
      </c>
      <c r="U128" s="151">
        <f t="shared" si="35"/>
        <v>0</v>
      </c>
    </row>
    <row r="129" spans="1:21">
      <c r="A129">
        <v>6</v>
      </c>
      <c r="B129" s="24">
        <f>Inputs!$B$53</f>
        <v>0</v>
      </c>
      <c r="C129" s="58">
        <f>Inputs!$B$16</f>
        <v>0.11</v>
      </c>
      <c r="D129" s="58">
        <f>Inputs!$C$16</f>
        <v>0</v>
      </c>
      <c r="E129">
        <v>1</v>
      </c>
      <c r="F129" s="52">
        <f>((NPV_New!$D$18*D129)*C129)*(B129)*E129</f>
        <v>0</v>
      </c>
      <c r="G129" s="60">
        <f>((NPV_New!$D$18*E129)*D129)*(C129)</f>
        <v>0</v>
      </c>
      <c r="H129">
        <f t="shared" si="36"/>
        <v>0</v>
      </c>
      <c r="J129" s="5" t="s">
        <v>460</v>
      </c>
      <c r="K129" s="150">
        <f t="shared" si="25"/>
        <v>248132.17256673516</v>
      </c>
      <c r="L129" s="151">
        <f t="shared" si="26"/>
        <v>0</v>
      </c>
      <c r="M129" s="151">
        <f t="shared" si="27"/>
        <v>0</v>
      </c>
      <c r="N129" s="151">
        <f t="shared" si="28"/>
        <v>0</v>
      </c>
      <c r="O129" s="151">
        <f t="shared" si="29"/>
        <v>0</v>
      </c>
      <c r="P129" s="151">
        <f t="shared" si="30"/>
        <v>0</v>
      </c>
      <c r="Q129" s="151">
        <f t="shared" si="31"/>
        <v>0</v>
      </c>
      <c r="R129" s="151">
        <f t="shared" si="32"/>
        <v>0</v>
      </c>
      <c r="S129" s="151">
        <f t="shared" si="33"/>
        <v>0</v>
      </c>
      <c r="T129" s="151">
        <f t="shared" si="34"/>
        <v>0</v>
      </c>
      <c r="U129" s="151">
        <f t="shared" si="35"/>
        <v>0</v>
      </c>
    </row>
    <row r="130" spans="1:21">
      <c r="A130">
        <v>7</v>
      </c>
      <c r="B130" s="24">
        <f>Inputs!$B$53</f>
        <v>0</v>
      </c>
      <c r="C130" s="58">
        <f>Inputs!$B$16</f>
        <v>0.11</v>
      </c>
      <c r="D130" s="58">
        <f>Inputs!$C$16</f>
        <v>0</v>
      </c>
      <c r="E130">
        <v>1</v>
      </c>
      <c r="F130" s="52">
        <f>((NPV_New!$D$18*D130)*C130)*(B130)*E130</f>
        <v>0</v>
      </c>
      <c r="G130" s="60">
        <f>((NPV_New!$D$18*E130)*D130)*(C130)</f>
        <v>0</v>
      </c>
      <c r="H130">
        <f t="shared" si="36"/>
        <v>0</v>
      </c>
      <c r="J130" s="5" t="s">
        <v>461</v>
      </c>
      <c r="K130" s="150">
        <f t="shared" si="25"/>
        <v>248132.17256673516</v>
      </c>
      <c r="L130" s="151">
        <f t="shared" si="26"/>
        <v>0</v>
      </c>
      <c r="M130" s="151">
        <f t="shared" si="27"/>
        <v>0</v>
      </c>
      <c r="N130" s="151">
        <f t="shared" si="28"/>
        <v>0</v>
      </c>
      <c r="O130" s="151">
        <f t="shared" si="29"/>
        <v>0</v>
      </c>
      <c r="P130" s="151">
        <f t="shared" si="30"/>
        <v>0</v>
      </c>
      <c r="Q130" s="151">
        <f t="shared" si="31"/>
        <v>0</v>
      </c>
      <c r="R130" s="151">
        <f t="shared" si="32"/>
        <v>0</v>
      </c>
      <c r="S130" s="151">
        <f t="shared" si="33"/>
        <v>0</v>
      </c>
      <c r="T130" s="151">
        <f t="shared" si="34"/>
        <v>0</v>
      </c>
      <c r="U130" s="151">
        <f t="shared" si="35"/>
        <v>0</v>
      </c>
    </row>
    <row r="131" spans="1:21">
      <c r="A131">
        <v>8</v>
      </c>
      <c r="B131" s="24">
        <f>Inputs!$B$53</f>
        <v>0</v>
      </c>
      <c r="C131" s="58">
        <f>Inputs!$B$16</f>
        <v>0.11</v>
      </c>
      <c r="D131" s="58">
        <f>Inputs!$C$16</f>
        <v>0</v>
      </c>
      <c r="E131">
        <v>1</v>
      </c>
      <c r="F131" s="52">
        <f>((NPV_New!$D$18*D131)*C131)*(B131)*E131</f>
        <v>0</v>
      </c>
      <c r="G131" s="60">
        <f>((NPV_New!$D$18*E131)*D131)*(C131)</f>
        <v>0</v>
      </c>
      <c r="H131">
        <f t="shared" si="36"/>
        <v>0</v>
      </c>
      <c r="J131" s="5" t="s">
        <v>462</v>
      </c>
      <c r="K131" s="150">
        <f t="shared" si="25"/>
        <v>248132.17256673516</v>
      </c>
      <c r="L131" s="151">
        <f t="shared" si="26"/>
        <v>0</v>
      </c>
      <c r="M131" s="151">
        <f t="shared" si="27"/>
        <v>0</v>
      </c>
      <c r="N131" s="151">
        <f t="shared" si="28"/>
        <v>0</v>
      </c>
      <c r="O131" s="151">
        <f t="shared" si="29"/>
        <v>0</v>
      </c>
      <c r="P131" s="151">
        <f t="shared" si="30"/>
        <v>0</v>
      </c>
      <c r="Q131" s="151">
        <f t="shared" si="31"/>
        <v>0</v>
      </c>
      <c r="R131" s="151">
        <f t="shared" si="32"/>
        <v>0</v>
      </c>
      <c r="S131" s="151">
        <f t="shared" si="33"/>
        <v>0</v>
      </c>
      <c r="T131" s="151">
        <f t="shared" si="34"/>
        <v>0</v>
      </c>
      <c r="U131" s="151">
        <f t="shared" si="35"/>
        <v>0</v>
      </c>
    </row>
    <row r="132" spans="1:21">
      <c r="A132">
        <v>9</v>
      </c>
      <c r="B132" s="24">
        <f>Inputs!$B$53</f>
        <v>0</v>
      </c>
      <c r="C132" s="58">
        <f>Inputs!$B$16</f>
        <v>0.11</v>
      </c>
      <c r="D132" s="58">
        <f>Inputs!$C$16</f>
        <v>0</v>
      </c>
      <c r="E132">
        <v>1</v>
      </c>
      <c r="F132" s="52">
        <f>((NPV_New!$D$18*D132)*C132)*(B132)*E132</f>
        <v>0</v>
      </c>
      <c r="G132" s="60">
        <f>((NPV_New!$D$18*E132)*D132)*(C132)</f>
        <v>0</v>
      </c>
      <c r="H132">
        <f t="shared" si="36"/>
        <v>0</v>
      </c>
      <c r="J132" s="5" t="s">
        <v>463</v>
      </c>
      <c r="K132" s="150">
        <f t="shared" si="25"/>
        <v>248132.17256673516</v>
      </c>
      <c r="L132" s="151">
        <f t="shared" si="26"/>
        <v>0</v>
      </c>
      <c r="M132" s="151">
        <f t="shared" si="27"/>
        <v>0</v>
      </c>
      <c r="N132" s="151">
        <f t="shared" si="28"/>
        <v>0</v>
      </c>
      <c r="O132" s="151">
        <f t="shared" si="29"/>
        <v>0</v>
      </c>
      <c r="P132" s="151">
        <f t="shared" si="30"/>
        <v>0</v>
      </c>
      <c r="Q132" s="151">
        <f t="shared" si="31"/>
        <v>0</v>
      </c>
      <c r="R132" s="151">
        <f t="shared" si="32"/>
        <v>0</v>
      </c>
      <c r="S132" s="151">
        <f t="shared" si="33"/>
        <v>0</v>
      </c>
      <c r="T132" s="151">
        <f t="shared" si="34"/>
        <v>0</v>
      </c>
      <c r="U132" s="151">
        <f t="shared" si="35"/>
        <v>0</v>
      </c>
    </row>
    <row r="133" spans="1:21">
      <c r="A133">
        <v>10</v>
      </c>
      <c r="B133" s="24">
        <f>Inputs!$B$53</f>
        <v>0</v>
      </c>
      <c r="C133" s="58">
        <f>Inputs!$B$16</f>
        <v>0.11</v>
      </c>
      <c r="D133" s="58">
        <f>Inputs!$C$16</f>
        <v>0</v>
      </c>
      <c r="E133">
        <v>1</v>
      </c>
      <c r="F133" s="52">
        <f>((NPV_New!$D$18*D133)*C133)*(B133)*E133</f>
        <v>0</v>
      </c>
      <c r="G133" s="60">
        <f>((NPV_New!$D$18*E133)*D133)*(C133)</f>
        <v>0</v>
      </c>
      <c r="H133">
        <f t="shared" si="36"/>
        <v>0</v>
      </c>
      <c r="J133" s="5" t="s">
        <v>464</v>
      </c>
      <c r="K133" s="150">
        <f t="shared" si="25"/>
        <v>248132.17256673516</v>
      </c>
      <c r="L133" s="151">
        <f t="shared" si="26"/>
        <v>0</v>
      </c>
      <c r="M133" s="151">
        <f t="shared" si="27"/>
        <v>0</v>
      </c>
      <c r="N133" s="151">
        <f t="shared" si="28"/>
        <v>0</v>
      </c>
      <c r="O133" s="151">
        <f t="shared" si="29"/>
        <v>0</v>
      </c>
      <c r="P133" s="151">
        <f t="shared" si="30"/>
        <v>0</v>
      </c>
      <c r="Q133" s="151">
        <f t="shared" si="31"/>
        <v>0</v>
      </c>
      <c r="R133" s="151">
        <f t="shared" si="32"/>
        <v>0</v>
      </c>
      <c r="S133" s="151">
        <f t="shared" si="33"/>
        <v>0</v>
      </c>
      <c r="T133" s="151">
        <f t="shared" si="34"/>
        <v>0</v>
      </c>
      <c r="U133" s="151">
        <f t="shared" si="35"/>
        <v>0</v>
      </c>
    </row>
    <row r="134" spans="1:21">
      <c r="A134">
        <v>11</v>
      </c>
      <c r="B134" s="24">
        <f>Inputs!$B$53</f>
        <v>0</v>
      </c>
      <c r="C134" s="58">
        <f>Inputs!$B$16</f>
        <v>0.11</v>
      </c>
      <c r="D134" s="58">
        <f>Inputs!$C$16</f>
        <v>0</v>
      </c>
      <c r="E134">
        <v>1</v>
      </c>
      <c r="F134" s="52">
        <f>((NPV_New!$D$18*D134)*C134)*(B134)*E134</f>
        <v>0</v>
      </c>
      <c r="G134" s="60">
        <f>((NPV_New!$D$18*E134)*D134)*(C134)</f>
        <v>0</v>
      </c>
      <c r="H134">
        <f t="shared" si="36"/>
        <v>0</v>
      </c>
    </row>
    <row r="135" spans="1:21">
      <c r="A135">
        <v>12</v>
      </c>
      <c r="B135" s="24">
        <f>Inputs!$B$53</f>
        <v>0</v>
      </c>
      <c r="C135" s="58">
        <f>Inputs!$B$16</f>
        <v>0.11</v>
      </c>
      <c r="D135" s="58">
        <f>Inputs!$C$16</f>
        <v>0</v>
      </c>
      <c r="E135">
        <v>1</v>
      </c>
      <c r="F135" s="52">
        <f>((NPV_New!$D$18*D135)*C135)*(B135)*E135</f>
        <v>0</v>
      </c>
      <c r="G135" s="60">
        <f>((NPV_New!$D$18*E135)*D135)*(C135)</f>
        <v>0</v>
      </c>
      <c r="H135">
        <f t="shared" si="36"/>
        <v>0</v>
      </c>
    </row>
    <row r="136" spans="1:21">
      <c r="A136">
        <v>13</v>
      </c>
      <c r="B136" s="24">
        <f>Inputs!$B$53</f>
        <v>0</v>
      </c>
      <c r="C136" s="58">
        <f>Inputs!$B$16</f>
        <v>0.11</v>
      </c>
      <c r="D136" s="58">
        <f>Inputs!$C$16</f>
        <v>0</v>
      </c>
      <c r="E136">
        <v>1</v>
      </c>
      <c r="F136" s="52">
        <f>((NPV_New!$D$18*D136)*C136)*(B136)*E136</f>
        <v>0</v>
      </c>
      <c r="G136" s="60">
        <f>((NPV_New!$D$18*E136)*D136)*(C136)</f>
        <v>0</v>
      </c>
      <c r="H136">
        <f t="shared" si="36"/>
        <v>0</v>
      </c>
      <c r="J136" s="607" t="s">
        <v>591</v>
      </c>
      <c r="K136" s="607"/>
      <c r="L136" s="607"/>
      <c r="M136" s="607"/>
      <c r="N136" s="607"/>
      <c r="O136" s="607"/>
      <c r="P136" s="607"/>
      <c r="Q136" s="607"/>
      <c r="R136" s="607"/>
      <c r="S136" s="607"/>
      <c r="T136" s="607"/>
      <c r="U136" s="607"/>
    </row>
    <row r="137" spans="1:21">
      <c r="A137">
        <v>14</v>
      </c>
      <c r="B137" s="24">
        <f>Inputs!$B$53</f>
        <v>0</v>
      </c>
      <c r="C137" s="58">
        <f>Inputs!$B$16</f>
        <v>0.11</v>
      </c>
      <c r="D137" s="58">
        <f>Inputs!$C$16</f>
        <v>0</v>
      </c>
      <c r="E137">
        <v>1</v>
      </c>
      <c r="F137" s="52">
        <f>((NPV_New!$D$18*D137)*C137)*(B137)*E137</f>
        <v>0</v>
      </c>
      <c r="G137" s="60">
        <f>((NPV_New!$D$18*E137)*D137)*(C137)</f>
        <v>0</v>
      </c>
      <c r="H137">
        <f t="shared" si="36"/>
        <v>0</v>
      </c>
      <c r="J137" s="5"/>
      <c r="K137" s="149" t="s">
        <v>579</v>
      </c>
      <c r="L137" s="49" t="s">
        <v>580</v>
      </c>
      <c r="M137" s="49" t="s">
        <v>581</v>
      </c>
      <c r="N137" s="49" t="s">
        <v>582</v>
      </c>
      <c r="O137" s="49" t="s">
        <v>583</v>
      </c>
      <c r="P137" s="49" t="s">
        <v>584</v>
      </c>
      <c r="Q137" s="49" t="s">
        <v>585</v>
      </c>
      <c r="R137" s="49" t="s">
        <v>586</v>
      </c>
      <c r="S137" s="49" t="s">
        <v>587</v>
      </c>
      <c r="T137" s="49" t="s">
        <v>588</v>
      </c>
      <c r="U137" s="49" t="s">
        <v>589</v>
      </c>
    </row>
    <row r="138" spans="1:21">
      <c r="A138">
        <v>15</v>
      </c>
      <c r="B138" s="24">
        <f>Inputs!$B$53</f>
        <v>0</v>
      </c>
      <c r="C138" s="58">
        <f>Inputs!$B$16</f>
        <v>0.11</v>
      </c>
      <c r="D138" s="58">
        <f>Inputs!$C$16</f>
        <v>0</v>
      </c>
      <c r="E138">
        <v>1</v>
      </c>
      <c r="F138" s="52">
        <f>((NPV_New!$D$18*D138)*C138)*(B138)*E138</f>
        <v>0</v>
      </c>
      <c r="G138" s="60">
        <f>((NPV_New!$D$18*E138)*D138)*(C138)</f>
        <v>0</v>
      </c>
      <c r="H138">
        <f t="shared" si="36"/>
        <v>0</v>
      </c>
      <c r="J138" s="5" t="s">
        <v>590</v>
      </c>
      <c r="K138" s="150">
        <f>K113/365.25</f>
        <v>0</v>
      </c>
      <c r="L138" s="150">
        <f t="shared" ref="L138:U138" si="37">L113/365.25</f>
        <v>0</v>
      </c>
      <c r="M138" s="150">
        <f t="shared" si="37"/>
        <v>0</v>
      </c>
      <c r="N138" s="150">
        <f t="shared" si="37"/>
        <v>0</v>
      </c>
      <c r="O138" s="150">
        <f t="shared" si="37"/>
        <v>0</v>
      </c>
      <c r="P138" s="150">
        <f t="shared" si="37"/>
        <v>0</v>
      </c>
      <c r="Q138" s="150">
        <f t="shared" si="37"/>
        <v>0</v>
      </c>
      <c r="R138" s="150">
        <f t="shared" si="37"/>
        <v>0</v>
      </c>
      <c r="S138" s="150">
        <f t="shared" si="37"/>
        <v>0</v>
      </c>
      <c r="T138" s="150">
        <f t="shared" si="37"/>
        <v>0</v>
      </c>
      <c r="U138" s="150">
        <f t="shared" si="37"/>
        <v>0</v>
      </c>
    </row>
    <row r="139" spans="1:21">
      <c r="A139">
        <v>16</v>
      </c>
      <c r="B139" s="24">
        <f>Inputs!$B$53</f>
        <v>0</v>
      </c>
      <c r="C139" s="58">
        <f>Inputs!$B$16</f>
        <v>0.11</v>
      </c>
      <c r="D139" s="58">
        <f>Inputs!$C$16</f>
        <v>0</v>
      </c>
      <c r="E139">
        <v>1</v>
      </c>
      <c r="F139" s="52">
        <f>((NPV_New!$D$18*D139)*C139)*(B139)*E139</f>
        <v>0</v>
      </c>
      <c r="G139" s="60">
        <f>((NPV_New!$D$18*E139)*D139)*(C139)</f>
        <v>0</v>
      </c>
      <c r="H139">
        <f t="shared" si="36"/>
        <v>0</v>
      </c>
      <c r="J139" s="5" t="s">
        <v>445</v>
      </c>
      <c r="K139" s="150">
        <f t="shared" ref="K139:U158" si="38">K114/365.25</f>
        <v>226.44962132487808</v>
      </c>
      <c r="L139" s="150">
        <f t="shared" si="38"/>
        <v>0</v>
      </c>
      <c r="M139" s="150">
        <f t="shared" si="38"/>
        <v>0</v>
      </c>
      <c r="N139" s="150">
        <f t="shared" si="38"/>
        <v>0</v>
      </c>
      <c r="O139" s="150">
        <f t="shared" si="38"/>
        <v>0</v>
      </c>
      <c r="P139" s="150">
        <f t="shared" si="38"/>
        <v>0</v>
      </c>
      <c r="Q139" s="150">
        <f t="shared" si="38"/>
        <v>0</v>
      </c>
      <c r="R139" s="150">
        <f t="shared" si="38"/>
        <v>0</v>
      </c>
      <c r="S139" s="150">
        <f t="shared" si="38"/>
        <v>0</v>
      </c>
      <c r="T139" s="150">
        <f t="shared" si="38"/>
        <v>0</v>
      </c>
      <c r="U139" s="150">
        <f t="shared" si="38"/>
        <v>0</v>
      </c>
    </row>
    <row r="140" spans="1:21">
      <c r="A140">
        <v>17</v>
      </c>
      <c r="B140" s="24">
        <f>Inputs!$B$53</f>
        <v>0</v>
      </c>
      <c r="C140" s="58">
        <f>Inputs!$B$16</f>
        <v>0.11</v>
      </c>
      <c r="D140" s="58">
        <f>Inputs!$C$16</f>
        <v>0</v>
      </c>
      <c r="E140">
        <v>1</v>
      </c>
      <c r="F140" s="52">
        <f>((NPV_New!$D$18*D140)*C140)*(B140)*E140</f>
        <v>0</v>
      </c>
      <c r="G140" s="60">
        <f>((NPV_New!$D$18*E140)*D140)*(C140)</f>
        <v>0</v>
      </c>
      <c r="H140">
        <f t="shared" si="36"/>
        <v>0</v>
      </c>
      <c r="J140" s="5" t="s">
        <v>446</v>
      </c>
      <c r="K140" s="150">
        <f t="shared" si="38"/>
        <v>452.89924264975616</v>
      </c>
      <c r="L140" s="150">
        <f t="shared" si="38"/>
        <v>0</v>
      </c>
      <c r="M140" s="150">
        <f t="shared" si="38"/>
        <v>0</v>
      </c>
      <c r="N140" s="150">
        <f t="shared" si="38"/>
        <v>0</v>
      </c>
      <c r="O140" s="150">
        <f t="shared" si="38"/>
        <v>0</v>
      </c>
      <c r="P140" s="150">
        <f t="shared" si="38"/>
        <v>0</v>
      </c>
      <c r="Q140" s="150">
        <f t="shared" si="38"/>
        <v>0</v>
      </c>
      <c r="R140" s="150">
        <f t="shared" si="38"/>
        <v>0</v>
      </c>
      <c r="S140" s="150">
        <f t="shared" si="38"/>
        <v>0</v>
      </c>
      <c r="T140" s="150">
        <f t="shared" si="38"/>
        <v>0</v>
      </c>
      <c r="U140" s="150">
        <f t="shared" si="38"/>
        <v>0</v>
      </c>
    </row>
    <row r="141" spans="1:21">
      <c r="A141">
        <v>18</v>
      </c>
      <c r="B141" s="24">
        <f>Inputs!$B$53</f>
        <v>0</v>
      </c>
      <c r="C141" s="58">
        <f>Inputs!$B$16</f>
        <v>0.11</v>
      </c>
      <c r="D141" s="58">
        <f>Inputs!$C$16</f>
        <v>0</v>
      </c>
      <c r="E141">
        <v>1</v>
      </c>
      <c r="F141" s="52">
        <f>((NPV_New!$D$18*D141)*C141)*(B141)*E141</f>
        <v>0</v>
      </c>
      <c r="G141" s="60">
        <f>((NPV_New!$D$18*E141)*D141)*(C141)</f>
        <v>0</v>
      </c>
      <c r="H141">
        <f t="shared" si="36"/>
        <v>0</v>
      </c>
      <c r="J141" s="5" t="s">
        <v>447</v>
      </c>
      <c r="K141" s="150">
        <f t="shared" si="38"/>
        <v>679.34886397463424</v>
      </c>
      <c r="L141" s="150">
        <f t="shared" si="38"/>
        <v>0</v>
      </c>
      <c r="M141" s="150">
        <f t="shared" si="38"/>
        <v>0</v>
      </c>
      <c r="N141" s="150">
        <f t="shared" si="38"/>
        <v>0</v>
      </c>
      <c r="O141" s="150">
        <f t="shared" si="38"/>
        <v>0</v>
      </c>
      <c r="P141" s="150">
        <f t="shared" si="38"/>
        <v>0</v>
      </c>
      <c r="Q141" s="150">
        <f t="shared" si="38"/>
        <v>0</v>
      </c>
      <c r="R141" s="150">
        <f t="shared" si="38"/>
        <v>0</v>
      </c>
      <c r="S141" s="150">
        <f t="shared" si="38"/>
        <v>0</v>
      </c>
      <c r="T141" s="150">
        <f t="shared" si="38"/>
        <v>0</v>
      </c>
      <c r="U141" s="150">
        <f t="shared" si="38"/>
        <v>0</v>
      </c>
    </row>
    <row r="142" spans="1:21">
      <c r="A142">
        <v>19</v>
      </c>
      <c r="B142" s="24">
        <f>Inputs!$B$53</f>
        <v>0</v>
      </c>
      <c r="C142" s="58">
        <f>Inputs!$B$16</f>
        <v>0.11</v>
      </c>
      <c r="D142" s="58">
        <f>Inputs!$C$16</f>
        <v>0</v>
      </c>
      <c r="E142">
        <v>1</v>
      </c>
      <c r="F142" s="52">
        <f>((NPV_New!$D$18*D142)*C142)*(B142)*E142</f>
        <v>0</v>
      </c>
      <c r="G142" s="60">
        <f>((NPV_New!$D$18*E142)*D142)*(C142)</f>
        <v>0</v>
      </c>
      <c r="H142">
        <f t="shared" si="36"/>
        <v>0</v>
      </c>
      <c r="J142" s="5" t="s">
        <v>448</v>
      </c>
      <c r="K142" s="150">
        <f t="shared" si="38"/>
        <v>679.34886397463424</v>
      </c>
      <c r="L142" s="150">
        <f t="shared" si="38"/>
        <v>0</v>
      </c>
      <c r="M142" s="150">
        <f t="shared" si="38"/>
        <v>0</v>
      </c>
      <c r="N142" s="150">
        <f t="shared" si="38"/>
        <v>0</v>
      </c>
      <c r="O142" s="150">
        <f t="shared" si="38"/>
        <v>0</v>
      </c>
      <c r="P142" s="150">
        <f t="shared" si="38"/>
        <v>0</v>
      </c>
      <c r="Q142" s="150">
        <f t="shared" si="38"/>
        <v>0</v>
      </c>
      <c r="R142" s="150">
        <f t="shared" si="38"/>
        <v>0</v>
      </c>
      <c r="S142" s="150">
        <f t="shared" si="38"/>
        <v>0</v>
      </c>
      <c r="T142" s="150">
        <f t="shared" si="38"/>
        <v>0</v>
      </c>
      <c r="U142" s="150">
        <f t="shared" si="38"/>
        <v>0</v>
      </c>
    </row>
    <row r="143" spans="1:21">
      <c r="A143">
        <v>20</v>
      </c>
      <c r="B143" s="24">
        <f>Inputs!$B$53</f>
        <v>0</v>
      </c>
      <c r="C143" s="58">
        <f>Inputs!$B$16</f>
        <v>0.11</v>
      </c>
      <c r="D143" s="58">
        <f>Inputs!$C$16</f>
        <v>0</v>
      </c>
      <c r="E143">
        <v>1</v>
      </c>
      <c r="F143" s="52">
        <f>((NPV_New!$D$18*D143)*C143)*(B143)*E143</f>
        <v>0</v>
      </c>
      <c r="G143" s="60">
        <f>((NPV_New!$D$18*E143)*D143)*(C143)</f>
        <v>0</v>
      </c>
      <c r="H143">
        <f t="shared" si="36"/>
        <v>0</v>
      </c>
      <c r="J143" s="5" t="s">
        <v>449</v>
      </c>
      <c r="K143" s="150">
        <f t="shared" si="38"/>
        <v>679.34886397463424</v>
      </c>
      <c r="L143" s="150">
        <f t="shared" si="38"/>
        <v>0</v>
      </c>
      <c r="M143" s="150">
        <f t="shared" si="38"/>
        <v>0</v>
      </c>
      <c r="N143" s="150">
        <f t="shared" si="38"/>
        <v>0</v>
      </c>
      <c r="O143" s="150">
        <f t="shared" si="38"/>
        <v>0</v>
      </c>
      <c r="P143" s="150">
        <f t="shared" si="38"/>
        <v>0</v>
      </c>
      <c r="Q143" s="150">
        <f t="shared" si="38"/>
        <v>0</v>
      </c>
      <c r="R143" s="150">
        <f t="shared" si="38"/>
        <v>0</v>
      </c>
      <c r="S143" s="150">
        <f t="shared" si="38"/>
        <v>0</v>
      </c>
      <c r="T143" s="150">
        <f t="shared" si="38"/>
        <v>0</v>
      </c>
      <c r="U143" s="150">
        <f t="shared" si="38"/>
        <v>0</v>
      </c>
    </row>
    <row r="144" spans="1:21">
      <c r="G144" s="60"/>
      <c r="J144" s="5" t="s">
        <v>450</v>
      </c>
      <c r="K144" s="150">
        <f t="shared" si="38"/>
        <v>679.34886397463424</v>
      </c>
      <c r="L144" s="150">
        <f t="shared" si="38"/>
        <v>0</v>
      </c>
      <c r="M144" s="150">
        <f t="shared" si="38"/>
        <v>0</v>
      </c>
      <c r="N144" s="150">
        <f t="shared" si="38"/>
        <v>0</v>
      </c>
      <c r="O144" s="150">
        <f t="shared" si="38"/>
        <v>0</v>
      </c>
      <c r="P144" s="150">
        <f t="shared" si="38"/>
        <v>0</v>
      </c>
      <c r="Q144" s="150">
        <f t="shared" si="38"/>
        <v>0</v>
      </c>
      <c r="R144" s="150">
        <f t="shared" si="38"/>
        <v>0</v>
      </c>
      <c r="S144" s="150">
        <f t="shared" si="38"/>
        <v>0</v>
      </c>
      <c r="T144" s="150">
        <f t="shared" si="38"/>
        <v>0</v>
      </c>
      <c r="U144" s="150">
        <f t="shared" si="38"/>
        <v>0</v>
      </c>
    </row>
    <row r="145" spans="1:21">
      <c r="G145" s="60"/>
      <c r="J145" s="5" t="s">
        <v>451</v>
      </c>
      <c r="K145" s="150">
        <f t="shared" si="38"/>
        <v>679.34886397463424</v>
      </c>
      <c r="L145" s="150">
        <f t="shared" si="38"/>
        <v>0</v>
      </c>
      <c r="M145" s="150">
        <f t="shared" si="38"/>
        <v>0</v>
      </c>
      <c r="N145" s="150">
        <f t="shared" si="38"/>
        <v>0</v>
      </c>
      <c r="O145" s="150">
        <f t="shared" si="38"/>
        <v>0</v>
      </c>
      <c r="P145" s="150">
        <f t="shared" si="38"/>
        <v>0</v>
      </c>
      <c r="Q145" s="150">
        <f t="shared" si="38"/>
        <v>0</v>
      </c>
      <c r="R145" s="150">
        <f t="shared" si="38"/>
        <v>0</v>
      </c>
      <c r="S145" s="150">
        <f t="shared" si="38"/>
        <v>0</v>
      </c>
      <c r="T145" s="150">
        <f t="shared" si="38"/>
        <v>0</v>
      </c>
      <c r="U145" s="150">
        <f t="shared" si="38"/>
        <v>0</v>
      </c>
    </row>
    <row r="146" spans="1:21">
      <c r="A146" s="5" t="s">
        <v>48</v>
      </c>
      <c r="B146" s="5" t="s">
        <v>571</v>
      </c>
      <c r="C146" s="5" t="s">
        <v>572</v>
      </c>
      <c r="D146" s="5" t="s">
        <v>573</v>
      </c>
      <c r="E146" s="5" t="s">
        <v>574</v>
      </c>
      <c r="F146" s="5" t="s">
        <v>575</v>
      </c>
      <c r="G146" s="5" t="s">
        <v>576</v>
      </c>
      <c r="H146" s="5" t="s">
        <v>577</v>
      </c>
      <c r="J146" s="5" t="s">
        <v>452</v>
      </c>
      <c r="K146" s="150">
        <f t="shared" si="38"/>
        <v>679.34886397463424</v>
      </c>
      <c r="L146" s="150">
        <f t="shared" si="38"/>
        <v>0</v>
      </c>
      <c r="M146" s="150">
        <f t="shared" si="38"/>
        <v>0</v>
      </c>
      <c r="N146" s="150">
        <f t="shared" si="38"/>
        <v>0</v>
      </c>
      <c r="O146" s="150">
        <f t="shared" si="38"/>
        <v>0</v>
      </c>
      <c r="P146" s="150">
        <f t="shared" si="38"/>
        <v>0</v>
      </c>
      <c r="Q146" s="150">
        <f t="shared" si="38"/>
        <v>0</v>
      </c>
      <c r="R146" s="150">
        <f t="shared" si="38"/>
        <v>0</v>
      </c>
      <c r="S146" s="150">
        <f t="shared" si="38"/>
        <v>0</v>
      </c>
      <c r="T146" s="150">
        <f t="shared" si="38"/>
        <v>0</v>
      </c>
      <c r="U146" s="150">
        <f t="shared" si="38"/>
        <v>0</v>
      </c>
    </row>
    <row r="147" spans="1:21">
      <c r="A147">
        <v>0</v>
      </c>
      <c r="B147" s="24">
        <f>Inputs!$B$54</f>
        <v>0</v>
      </c>
      <c r="C147" s="58">
        <f>Inputs!$B$17</f>
        <v>0.08</v>
      </c>
      <c r="D147" s="58">
        <f>Inputs!$C$17</f>
        <v>0</v>
      </c>
      <c r="E147">
        <v>0</v>
      </c>
      <c r="F147" s="52">
        <f>((NPV_New!$D$18*D147)*C147)*(B147)*E147</f>
        <v>0</v>
      </c>
      <c r="G147" s="60">
        <f>((NPV_New!$D$18*E147)*D147)*(C147)</f>
        <v>0</v>
      </c>
      <c r="H147">
        <f t="shared" ref="H147:H167" si="39">G147/100</f>
        <v>0</v>
      </c>
      <c r="J147" s="5" t="s">
        <v>453</v>
      </c>
      <c r="K147" s="150">
        <f t="shared" si="38"/>
        <v>679.34886397463424</v>
      </c>
      <c r="L147" s="150">
        <f t="shared" si="38"/>
        <v>0</v>
      </c>
      <c r="M147" s="150">
        <f t="shared" si="38"/>
        <v>0</v>
      </c>
      <c r="N147" s="150">
        <f t="shared" si="38"/>
        <v>0</v>
      </c>
      <c r="O147" s="150">
        <f t="shared" si="38"/>
        <v>0</v>
      </c>
      <c r="P147" s="150">
        <f t="shared" si="38"/>
        <v>0</v>
      </c>
      <c r="Q147" s="150">
        <f t="shared" si="38"/>
        <v>0</v>
      </c>
      <c r="R147" s="150">
        <f t="shared" si="38"/>
        <v>0</v>
      </c>
      <c r="S147" s="150">
        <f t="shared" si="38"/>
        <v>0</v>
      </c>
      <c r="T147" s="150">
        <f t="shared" si="38"/>
        <v>0</v>
      </c>
      <c r="U147" s="150">
        <f t="shared" si="38"/>
        <v>0</v>
      </c>
    </row>
    <row r="148" spans="1:21">
      <c r="A148">
        <v>1</v>
      </c>
      <c r="B148" s="24">
        <f>Inputs!$B$54</f>
        <v>0</v>
      </c>
      <c r="C148" s="58">
        <f>Inputs!$B$17</f>
        <v>0.08</v>
      </c>
      <c r="D148" s="58">
        <f>Inputs!$C$17</f>
        <v>0</v>
      </c>
      <c r="E148">
        <f>E150/3</f>
        <v>0.33333333333333331</v>
      </c>
      <c r="F148" s="52">
        <f>((NPV_New!$D$18*D148)*C148)*(B148)*E148</f>
        <v>0</v>
      </c>
      <c r="G148" s="60">
        <f>((NPV_New!$D$18*E148)*D148)*(C148)</f>
        <v>0</v>
      </c>
      <c r="H148">
        <f t="shared" si="39"/>
        <v>0</v>
      </c>
      <c r="J148" s="5" t="s">
        <v>454</v>
      </c>
      <c r="K148" s="150">
        <f t="shared" si="38"/>
        <v>679.34886397463424</v>
      </c>
      <c r="L148" s="150">
        <f t="shared" si="38"/>
        <v>0</v>
      </c>
      <c r="M148" s="150">
        <f t="shared" si="38"/>
        <v>0</v>
      </c>
      <c r="N148" s="150">
        <f t="shared" si="38"/>
        <v>0</v>
      </c>
      <c r="O148" s="150">
        <f t="shared" si="38"/>
        <v>0</v>
      </c>
      <c r="P148" s="150">
        <f t="shared" si="38"/>
        <v>0</v>
      </c>
      <c r="Q148" s="150">
        <f t="shared" si="38"/>
        <v>0</v>
      </c>
      <c r="R148" s="150">
        <f t="shared" si="38"/>
        <v>0</v>
      </c>
      <c r="S148" s="150">
        <f t="shared" si="38"/>
        <v>0</v>
      </c>
      <c r="T148" s="150">
        <f t="shared" si="38"/>
        <v>0</v>
      </c>
      <c r="U148" s="150">
        <f t="shared" si="38"/>
        <v>0</v>
      </c>
    </row>
    <row r="149" spans="1:21">
      <c r="A149">
        <v>2</v>
      </c>
      <c r="B149" s="24">
        <f>Inputs!$B$54</f>
        <v>0</v>
      </c>
      <c r="C149" s="58">
        <f>Inputs!$B$17</f>
        <v>0.08</v>
      </c>
      <c r="D149" s="58">
        <f>Inputs!$C$17</f>
        <v>0</v>
      </c>
      <c r="E149">
        <f>E150*(2/3)</f>
        <v>0.66666666666666663</v>
      </c>
      <c r="F149" s="52">
        <f>((NPV_New!$D$18*D149)*C149)*(B149)*E149</f>
        <v>0</v>
      </c>
      <c r="G149" s="60">
        <f>((NPV_New!$D$18*E149)*D149)*(C149)</f>
        <v>0</v>
      </c>
      <c r="H149">
        <f t="shared" si="39"/>
        <v>0</v>
      </c>
      <c r="J149" s="5" t="s">
        <v>455</v>
      </c>
      <c r="K149" s="150">
        <f t="shared" si="38"/>
        <v>679.34886397463424</v>
      </c>
      <c r="L149" s="150">
        <f t="shared" si="38"/>
        <v>0</v>
      </c>
      <c r="M149" s="150">
        <f t="shared" si="38"/>
        <v>0</v>
      </c>
      <c r="N149" s="150">
        <f t="shared" si="38"/>
        <v>0</v>
      </c>
      <c r="O149" s="150">
        <f t="shared" si="38"/>
        <v>0</v>
      </c>
      <c r="P149" s="150">
        <f t="shared" si="38"/>
        <v>0</v>
      </c>
      <c r="Q149" s="150">
        <f t="shared" si="38"/>
        <v>0</v>
      </c>
      <c r="R149" s="150">
        <f t="shared" si="38"/>
        <v>0</v>
      </c>
      <c r="S149" s="150">
        <f t="shared" si="38"/>
        <v>0</v>
      </c>
      <c r="T149" s="150">
        <f t="shared" si="38"/>
        <v>0</v>
      </c>
      <c r="U149" s="150">
        <f t="shared" si="38"/>
        <v>0</v>
      </c>
    </row>
    <row r="150" spans="1:21">
      <c r="A150">
        <v>3</v>
      </c>
      <c r="B150" s="24">
        <f>Inputs!$B$54</f>
        <v>0</v>
      </c>
      <c r="C150" s="58">
        <f>Inputs!$B$17</f>
        <v>0.08</v>
      </c>
      <c r="D150" s="58">
        <f>Inputs!$C$17</f>
        <v>0</v>
      </c>
      <c r="E150">
        <v>1</v>
      </c>
      <c r="F150" s="52">
        <f>((NPV_New!$D$18*D150)*C150)*(B150)*E150</f>
        <v>0</v>
      </c>
      <c r="G150" s="60">
        <f>((NPV_New!$D$18*E150)*D150)*(C150)</f>
        <v>0</v>
      </c>
      <c r="H150">
        <f t="shared" si="39"/>
        <v>0</v>
      </c>
      <c r="J150" s="5" t="s">
        <v>456</v>
      </c>
      <c r="K150" s="150">
        <f t="shared" si="38"/>
        <v>679.34886397463424</v>
      </c>
      <c r="L150" s="150">
        <f t="shared" si="38"/>
        <v>0</v>
      </c>
      <c r="M150" s="150">
        <f t="shared" si="38"/>
        <v>0</v>
      </c>
      <c r="N150" s="150">
        <f t="shared" si="38"/>
        <v>0</v>
      </c>
      <c r="O150" s="150">
        <f t="shared" si="38"/>
        <v>0</v>
      </c>
      <c r="P150" s="150">
        <f t="shared" si="38"/>
        <v>0</v>
      </c>
      <c r="Q150" s="150">
        <f t="shared" si="38"/>
        <v>0</v>
      </c>
      <c r="R150" s="150">
        <f t="shared" si="38"/>
        <v>0</v>
      </c>
      <c r="S150" s="150">
        <f t="shared" si="38"/>
        <v>0</v>
      </c>
      <c r="T150" s="150">
        <f t="shared" si="38"/>
        <v>0</v>
      </c>
      <c r="U150" s="150">
        <f t="shared" si="38"/>
        <v>0</v>
      </c>
    </row>
    <row r="151" spans="1:21">
      <c r="A151">
        <v>4</v>
      </c>
      <c r="B151" s="24">
        <f>Inputs!$B$54</f>
        <v>0</v>
      </c>
      <c r="C151" s="58">
        <f>Inputs!$B$17</f>
        <v>0.08</v>
      </c>
      <c r="D151" s="58">
        <f>Inputs!$C$17</f>
        <v>0</v>
      </c>
      <c r="E151">
        <v>1</v>
      </c>
      <c r="F151" s="52">
        <f>((NPV_New!$D$18*D151)*C151)*(B151)*E151</f>
        <v>0</v>
      </c>
      <c r="G151" s="60">
        <f>((NPV_New!$D$18*E151)*D151)*(C151)</f>
        <v>0</v>
      </c>
      <c r="H151">
        <f t="shared" si="39"/>
        <v>0</v>
      </c>
      <c r="J151" s="5" t="s">
        <v>457</v>
      </c>
      <c r="K151" s="150">
        <f t="shared" si="38"/>
        <v>679.34886397463424</v>
      </c>
      <c r="L151" s="150">
        <f t="shared" si="38"/>
        <v>0</v>
      </c>
      <c r="M151" s="150">
        <f t="shared" si="38"/>
        <v>0</v>
      </c>
      <c r="N151" s="150">
        <f t="shared" si="38"/>
        <v>0</v>
      </c>
      <c r="O151" s="150">
        <f t="shared" si="38"/>
        <v>0</v>
      </c>
      <c r="P151" s="150">
        <f t="shared" si="38"/>
        <v>0</v>
      </c>
      <c r="Q151" s="150">
        <f t="shared" si="38"/>
        <v>0</v>
      </c>
      <c r="R151" s="150">
        <f t="shared" si="38"/>
        <v>0</v>
      </c>
      <c r="S151" s="150">
        <f t="shared" si="38"/>
        <v>0</v>
      </c>
      <c r="T151" s="150">
        <f t="shared" si="38"/>
        <v>0</v>
      </c>
      <c r="U151" s="150">
        <f t="shared" si="38"/>
        <v>0</v>
      </c>
    </row>
    <row r="152" spans="1:21">
      <c r="A152">
        <v>5</v>
      </c>
      <c r="B152" s="24">
        <f>Inputs!$B$54</f>
        <v>0</v>
      </c>
      <c r="C152" s="58">
        <f>Inputs!$B$17</f>
        <v>0.08</v>
      </c>
      <c r="D152" s="58">
        <f>Inputs!$C$17</f>
        <v>0</v>
      </c>
      <c r="E152">
        <v>1</v>
      </c>
      <c r="F152" s="52">
        <f>((NPV_New!$D$18*D152)*C152)*(B152)*E152</f>
        <v>0</v>
      </c>
      <c r="G152" s="60">
        <f>((NPV_New!$D$18*E152)*D152)*(C152)</f>
        <v>0</v>
      </c>
      <c r="H152">
        <f t="shared" si="39"/>
        <v>0</v>
      </c>
      <c r="J152" s="5" t="s">
        <v>458</v>
      </c>
      <c r="K152" s="150">
        <f t="shared" si="38"/>
        <v>679.34886397463424</v>
      </c>
      <c r="L152" s="150">
        <f t="shared" si="38"/>
        <v>0</v>
      </c>
      <c r="M152" s="150">
        <f t="shared" si="38"/>
        <v>0</v>
      </c>
      <c r="N152" s="150">
        <f t="shared" si="38"/>
        <v>0</v>
      </c>
      <c r="O152" s="150">
        <f t="shared" si="38"/>
        <v>0</v>
      </c>
      <c r="P152" s="150">
        <f t="shared" si="38"/>
        <v>0</v>
      </c>
      <c r="Q152" s="150">
        <f t="shared" si="38"/>
        <v>0</v>
      </c>
      <c r="R152" s="150">
        <f t="shared" si="38"/>
        <v>0</v>
      </c>
      <c r="S152" s="150">
        <f t="shared" si="38"/>
        <v>0</v>
      </c>
      <c r="T152" s="150">
        <f t="shared" si="38"/>
        <v>0</v>
      </c>
      <c r="U152" s="150">
        <f t="shared" si="38"/>
        <v>0</v>
      </c>
    </row>
    <row r="153" spans="1:21">
      <c r="A153">
        <v>6</v>
      </c>
      <c r="B153" s="24">
        <f>Inputs!$B$54</f>
        <v>0</v>
      </c>
      <c r="C153" s="58">
        <f>Inputs!$B$17</f>
        <v>0.08</v>
      </c>
      <c r="D153" s="58">
        <f>Inputs!$C$17</f>
        <v>0</v>
      </c>
      <c r="E153">
        <v>1</v>
      </c>
      <c r="F153" s="52">
        <f>((NPV_New!$D$18*D153)*C153)*(B153)*E153</f>
        <v>0</v>
      </c>
      <c r="G153" s="60">
        <f>((NPV_New!$D$18*E153)*D153)*(C153)</f>
        <v>0</v>
      </c>
      <c r="H153">
        <f t="shared" si="39"/>
        <v>0</v>
      </c>
      <c r="J153" s="5" t="s">
        <v>459</v>
      </c>
      <c r="K153" s="150">
        <f t="shared" si="38"/>
        <v>679.34886397463424</v>
      </c>
      <c r="L153" s="150">
        <f t="shared" si="38"/>
        <v>0</v>
      </c>
      <c r="M153" s="150">
        <f t="shared" si="38"/>
        <v>0</v>
      </c>
      <c r="N153" s="150">
        <f t="shared" si="38"/>
        <v>0</v>
      </c>
      <c r="O153" s="150">
        <f t="shared" si="38"/>
        <v>0</v>
      </c>
      <c r="P153" s="150">
        <f t="shared" si="38"/>
        <v>0</v>
      </c>
      <c r="Q153" s="150">
        <f t="shared" si="38"/>
        <v>0</v>
      </c>
      <c r="R153" s="150">
        <f t="shared" si="38"/>
        <v>0</v>
      </c>
      <c r="S153" s="150">
        <f t="shared" si="38"/>
        <v>0</v>
      </c>
      <c r="T153" s="150">
        <f t="shared" si="38"/>
        <v>0</v>
      </c>
      <c r="U153" s="150">
        <f t="shared" si="38"/>
        <v>0</v>
      </c>
    </row>
    <row r="154" spans="1:21">
      <c r="A154">
        <v>7</v>
      </c>
      <c r="B154" s="24">
        <f>Inputs!$B$54</f>
        <v>0</v>
      </c>
      <c r="C154" s="58">
        <f>Inputs!$B$17</f>
        <v>0.08</v>
      </c>
      <c r="D154" s="58">
        <f>Inputs!$C$17</f>
        <v>0</v>
      </c>
      <c r="E154">
        <v>1</v>
      </c>
      <c r="F154" s="52">
        <f>((NPV_New!$D$18*D154)*C154)*(B154)*E154</f>
        <v>0</v>
      </c>
      <c r="G154" s="60">
        <f>((NPV_New!$D$18*E154)*D154)*(C154)</f>
        <v>0</v>
      </c>
      <c r="H154">
        <f t="shared" si="39"/>
        <v>0</v>
      </c>
      <c r="J154" s="5" t="s">
        <v>460</v>
      </c>
      <c r="K154" s="150">
        <f t="shared" si="38"/>
        <v>679.34886397463424</v>
      </c>
      <c r="L154" s="150">
        <f t="shared" si="38"/>
        <v>0</v>
      </c>
      <c r="M154" s="150">
        <f t="shared" si="38"/>
        <v>0</v>
      </c>
      <c r="N154" s="150">
        <f t="shared" si="38"/>
        <v>0</v>
      </c>
      <c r="O154" s="150">
        <f t="shared" si="38"/>
        <v>0</v>
      </c>
      <c r="P154" s="150">
        <f t="shared" si="38"/>
        <v>0</v>
      </c>
      <c r="Q154" s="150">
        <f t="shared" si="38"/>
        <v>0</v>
      </c>
      <c r="R154" s="150">
        <f t="shared" si="38"/>
        <v>0</v>
      </c>
      <c r="S154" s="150">
        <f t="shared" si="38"/>
        <v>0</v>
      </c>
      <c r="T154" s="150">
        <f t="shared" si="38"/>
        <v>0</v>
      </c>
      <c r="U154" s="150">
        <f t="shared" si="38"/>
        <v>0</v>
      </c>
    </row>
    <row r="155" spans="1:21">
      <c r="A155">
        <v>8</v>
      </c>
      <c r="B155" s="24">
        <f>Inputs!$B$54</f>
        <v>0</v>
      </c>
      <c r="C155" s="58">
        <f>Inputs!$B$17</f>
        <v>0.08</v>
      </c>
      <c r="D155" s="58">
        <f>Inputs!$C$17</f>
        <v>0</v>
      </c>
      <c r="E155">
        <v>1</v>
      </c>
      <c r="F155" s="52">
        <f>((NPV_New!$D$18*D155)*C155)*(B155)*E155</f>
        <v>0</v>
      </c>
      <c r="G155" s="60">
        <f>((NPV_New!$D$18*E155)*D155)*(C155)</f>
        <v>0</v>
      </c>
      <c r="H155">
        <f t="shared" si="39"/>
        <v>0</v>
      </c>
      <c r="J155" s="5" t="s">
        <v>461</v>
      </c>
      <c r="K155" s="150">
        <f t="shared" si="38"/>
        <v>679.34886397463424</v>
      </c>
      <c r="L155" s="150">
        <f t="shared" si="38"/>
        <v>0</v>
      </c>
      <c r="M155" s="150">
        <f t="shared" si="38"/>
        <v>0</v>
      </c>
      <c r="N155" s="150">
        <f t="shared" si="38"/>
        <v>0</v>
      </c>
      <c r="O155" s="150">
        <f t="shared" si="38"/>
        <v>0</v>
      </c>
      <c r="P155" s="150">
        <f t="shared" si="38"/>
        <v>0</v>
      </c>
      <c r="Q155" s="150">
        <f t="shared" si="38"/>
        <v>0</v>
      </c>
      <c r="R155" s="150">
        <f t="shared" si="38"/>
        <v>0</v>
      </c>
      <c r="S155" s="150">
        <f t="shared" si="38"/>
        <v>0</v>
      </c>
      <c r="T155" s="150">
        <f t="shared" si="38"/>
        <v>0</v>
      </c>
      <c r="U155" s="150">
        <f t="shared" si="38"/>
        <v>0</v>
      </c>
    </row>
    <row r="156" spans="1:21">
      <c r="A156">
        <v>9</v>
      </c>
      <c r="B156" s="24">
        <f>Inputs!$B$54</f>
        <v>0</v>
      </c>
      <c r="C156" s="58">
        <f>Inputs!$B$17</f>
        <v>0.08</v>
      </c>
      <c r="D156" s="58">
        <f>Inputs!$C$17</f>
        <v>0</v>
      </c>
      <c r="E156">
        <v>1</v>
      </c>
      <c r="F156" s="52">
        <f>((NPV_New!$D$18*D156)*C156)*(B156)*E156</f>
        <v>0</v>
      </c>
      <c r="G156" s="60">
        <f>((NPV_New!$D$18*E156)*D156)*(C156)</f>
        <v>0</v>
      </c>
      <c r="H156">
        <f t="shared" si="39"/>
        <v>0</v>
      </c>
      <c r="J156" s="5" t="s">
        <v>462</v>
      </c>
      <c r="K156" s="150">
        <f t="shared" si="38"/>
        <v>679.34886397463424</v>
      </c>
      <c r="L156" s="150">
        <f t="shared" si="38"/>
        <v>0</v>
      </c>
      <c r="M156" s="150">
        <f t="shared" si="38"/>
        <v>0</v>
      </c>
      <c r="N156" s="150">
        <f t="shared" si="38"/>
        <v>0</v>
      </c>
      <c r="O156" s="150">
        <f t="shared" si="38"/>
        <v>0</v>
      </c>
      <c r="P156" s="150">
        <f t="shared" si="38"/>
        <v>0</v>
      </c>
      <c r="Q156" s="150">
        <f t="shared" si="38"/>
        <v>0</v>
      </c>
      <c r="R156" s="150">
        <f t="shared" si="38"/>
        <v>0</v>
      </c>
      <c r="S156" s="150">
        <f t="shared" si="38"/>
        <v>0</v>
      </c>
      <c r="T156" s="150">
        <f t="shared" si="38"/>
        <v>0</v>
      </c>
      <c r="U156" s="150">
        <f t="shared" si="38"/>
        <v>0</v>
      </c>
    </row>
    <row r="157" spans="1:21">
      <c r="A157">
        <v>10</v>
      </c>
      <c r="B157" s="24">
        <f>Inputs!$B$54</f>
        <v>0</v>
      </c>
      <c r="C157" s="58">
        <f>Inputs!$B$17</f>
        <v>0.08</v>
      </c>
      <c r="D157" s="58">
        <f>Inputs!$C$17</f>
        <v>0</v>
      </c>
      <c r="E157">
        <v>1</v>
      </c>
      <c r="F157" s="52">
        <f>((NPV_New!$D$18*D157)*C157)*(B157)*E157</f>
        <v>0</v>
      </c>
      <c r="G157" s="60">
        <f>((NPV_New!$D$18*E157)*D157)*(C157)</f>
        <v>0</v>
      </c>
      <c r="H157">
        <f t="shared" si="39"/>
        <v>0</v>
      </c>
      <c r="J157" s="5" t="s">
        <v>463</v>
      </c>
      <c r="K157" s="150">
        <f t="shared" si="38"/>
        <v>679.34886397463424</v>
      </c>
      <c r="L157" s="150">
        <f t="shared" si="38"/>
        <v>0</v>
      </c>
      <c r="M157" s="150">
        <f t="shared" si="38"/>
        <v>0</v>
      </c>
      <c r="N157" s="150">
        <f t="shared" si="38"/>
        <v>0</v>
      </c>
      <c r="O157" s="150">
        <f t="shared" si="38"/>
        <v>0</v>
      </c>
      <c r="P157" s="150">
        <f t="shared" si="38"/>
        <v>0</v>
      </c>
      <c r="Q157" s="150">
        <f t="shared" si="38"/>
        <v>0</v>
      </c>
      <c r="R157" s="150">
        <f t="shared" si="38"/>
        <v>0</v>
      </c>
      <c r="S157" s="150">
        <f t="shared" si="38"/>
        <v>0</v>
      </c>
      <c r="T157" s="150">
        <f t="shared" si="38"/>
        <v>0</v>
      </c>
      <c r="U157" s="150">
        <f t="shared" si="38"/>
        <v>0</v>
      </c>
    </row>
    <row r="158" spans="1:21">
      <c r="A158">
        <v>11</v>
      </c>
      <c r="B158" s="24">
        <f>Inputs!$B$54</f>
        <v>0</v>
      </c>
      <c r="C158" s="58">
        <f>Inputs!$B$17</f>
        <v>0.08</v>
      </c>
      <c r="D158" s="58">
        <f>Inputs!$C$17</f>
        <v>0</v>
      </c>
      <c r="E158">
        <v>1</v>
      </c>
      <c r="F158" s="52">
        <f>((NPV_New!$D$18*D158)*C158)*(B158)*E158</f>
        <v>0</v>
      </c>
      <c r="G158" s="60">
        <f>((NPV_New!$D$18*E158)*D158)*(C158)</f>
        <v>0</v>
      </c>
      <c r="H158">
        <f t="shared" si="39"/>
        <v>0</v>
      </c>
      <c r="J158" s="5" t="s">
        <v>464</v>
      </c>
      <c r="K158" s="150">
        <f t="shared" si="38"/>
        <v>679.34886397463424</v>
      </c>
      <c r="L158" s="150">
        <f t="shared" si="38"/>
        <v>0</v>
      </c>
      <c r="M158" s="150">
        <f t="shared" si="38"/>
        <v>0</v>
      </c>
      <c r="N158" s="150">
        <f t="shared" si="38"/>
        <v>0</v>
      </c>
      <c r="O158" s="150">
        <f t="shared" si="38"/>
        <v>0</v>
      </c>
      <c r="P158" s="150">
        <f t="shared" si="38"/>
        <v>0</v>
      </c>
      <c r="Q158" s="150">
        <f t="shared" si="38"/>
        <v>0</v>
      </c>
      <c r="R158" s="150">
        <f t="shared" si="38"/>
        <v>0</v>
      </c>
      <c r="S158" s="150">
        <f t="shared" si="38"/>
        <v>0</v>
      </c>
      <c r="T158" s="150">
        <f t="shared" si="38"/>
        <v>0</v>
      </c>
      <c r="U158" s="150">
        <f t="shared" si="38"/>
        <v>0</v>
      </c>
    </row>
    <row r="159" spans="1:21">
      <c r="A159">
        <v>12</v>
      </c>
      <c r="B159" s="24">
        <f>Inputs!$B$54</f>
        <v>0</v>
      </c>
      <c r="C159" s="58">
        <f>Inputs!$B$17</f>
        <v>0.08</v>
      </c>
      <c r="D159" s="58">
        <f>Inputs!$C$17</f>
        <v>0</v>
      </c>
      <c r="E159">
        <v>1</v>
      </c>
      <c r="F159" s="52">
        <f>((NPV_New!$D$18*D159)*C159)*(B159)*E159</f>
        <v>0</v>
      </c>
      <c r="G159" s="60">
        <f>((NPV_New!$D$18*E159)*D159)*(C159)</f>
        <v>0</v>
      </c>
      <c r="H159">
        <f t="shared" si="39"/>
        <v>0</v>
      </c>
    </row>
    <row r="160" spans="1:21">
      <c r="A160">
        <v>13</v>
      </c>
      <c r="B160" s="24">
        <f>Inputs!$B$54</f>
        <v>0</v>
      </c>
      <c r="C160" s="58">
        <f>Inputs!$B$17</f>
        <v>0.08</v>
      </c>
      <c r="D160" s="58">
        <f>Inputs!$C$17</f>
        <v>0</v>
      </c>
      <c r="E160">
        <v>1</v>
      </c>
      <c r="F160" s="52">
        <f>((NPV_New!$D$18*D160)*C160)*(B160)*E160</f>
        <v>0</v>
      </c>
      <c r="G160" s="60">
        <f>((NPV_New!$D$18*E160)*D160)*(C160)</f>
        <v>0</v>
      </c>
      <c r="H160">
        <f t="shared" si="39"/>
        <v>0</v>
      </c>
      <c r="J160" s="607" t="s">
        <v>592</v>
      </c>
      <c r="K160" s="607"/>
      <c r="L160" s="607"/>
      <c r="M160" s="607"/>
      <c r="N160" s="607"/>
      <c r="O160" s="607"/>
      <c r="P160" s="607"/>
      <c r="Q160" s="607"/>
      <c r="R160" s="607"/>
      <c r="S160" s="607"/>
      <c r="T160" s="607"/>
      <c r="U160" s="607"/>
    </row>
    <row r="161" spans="1:21">
      <c r="A161">
        <v>14</v>
      </c>
      <c r="B161" s="24">
        <f>Inputs!$B$54</f>
        <v>0</v>
      </c>
      <c r="C161" s="58">
        <f>Inputs!$B$17</f>
        <v>0.08</v>
      </c>
      <c r="D161" s="58">
        <f>Inputs!$C$17</f>
        <v>0</v>
      </c>
      <c r="E161">
        <v>1</v>
      </c>
      <c r="F161" s="52">
        <f>((NPV_New!$D$18*D161)*C161)*(B161)*E161</f>
        <v>0</v>
      </c>
      <c r="G161" s="60">
        <f>((NPV_New!$D$18*E161)*D161)*(C161)</f>
        <v>0</v>
      </c>
      <c r="H161">
        <f t="shared" si="39"/>
        <v>0</v>
      </c>
      <c r="J161" s="5"/>
      <c r="K161" s="149" t="s">
        <v>579</v>
      </c>
      <c r="L161" s="49" t="s">
        <v>580</v>
      </c>
      <c r="M161" s="49" t="s">
        <v>581</v>
      </c>
      <c r="N161" s="49" t="s">
        <v>582</v>
      </c>
      <c r="O161" s="49" t="s">
        <v>583</v>
      </c>
      <c r="P161" s="49" t="s">
        <v>584</v>
      </c>
      <c r="Q161" s="49" t="s">
        <v>585</v>
      </c>
      <c r="R161" s="49" t="s">
        <v>586</v>
      </c>
      <c r="S161" s="49" t="s">
        <v>587</v>
      </c>
      <c r="T161" s="49" t="s">
        <v>588</v>
      </c>
      <c r="U161" s="49" t="s">
        <v>589</v>
      </c>
    </row>
    <row r="162" spans="1:21">
      <c r="A162">
        <v>15</v>
      </c>
      <c r="B162" s="24">
        <f>Inputs!$B$54</f>
        <v>0</v>
      </c>
      <c r="C162" s="58">
        <f>Inputs!$B$17</f>
        <v>0.08</v>
      </c>
      <c r="D162" s="58">
        <f>Inputs!$C$17</f>
        <v>0</v>
      </c>
      <c r="E162">
        <v>1</v>
      </c>
      <c r="F162" s="52">
        <f>((NPV_New!$D$18*D162)*C162)*(B162)*E162</f>
        <v>0</v>
      </c>
      <c r="G162" s="60">
        <f>((NPV_New!$D$18*E162)*D162)*(C162)</f>
        <v>0</v>
      </c>
      <c r="H162">
        <f t="shared" si="39"/>
        <v>0</v>
      </c>
      <c r="J162" s="5" t="s">
        <v>590</v>
      </c>
      <c r="K162" s="152">
        <f t="shared" ref="K162:K182" si="40">H99/$D$14</f>
        <v>0</v>
      </c>
      <c r="L162" s="152">
        <f t="shared" ref="L162:L182" si="41">H123/$D$14</f>
        <v>0</v>
      </c>
      <c r="M162" s="152">
        <f t="shared" ref="M162:M182" si="42">H147/$D$14</f>
        <v>0</v>
      </c>
      <c r="N162" s="152">
        <f t="shared" ref="N162:N182" si="43">H171/$D$14</f>
        <v>0</v>
      </c>
      <c r="O162" s="152">
        <f t="shared" ref="O162:O182" si="44">H195/$D$14</f>
        <v>0</v>
      </c>
      <c r="P162" s="152">
        <f t="shared" ref="P162:P182" si="45">H219/$D$14</f>
        <v>0</v>
      </c>
      <c r="Q162" s="152">
        <f t="shared" ref="Q162:Q182" si="46">H243/$D$14</f>
        <v>0</v>
      </c>
      <c r="R162" s="152">
        <f t="shared" ref="R162:R182" si="47">H267/$D$14</f>
        <v>0</v>
      </c>
      <c r="S162" s="152">
        <f t="shared" ref="S162:S182" si="48">H291/$D$14</f>
        <v>0</v>
      </c>
      <c r="T162" s="152">
        <f t="shared" ref="T162:T182" si="49">H315/$D$14</f>
        <v>0</v>
      </c>
      <c r="U162" s="152">
        <f t="shared" ref="U162:U182" si="50">H339/$D$14</f>
        <v>0</v>
      </c>
    </row>
    <row r="163" spans="1:21">
      <c r="A163">
        <v>16</v>
      </c>
      <c r="B163" s="24">
        <f>Inputs!$B$54</f>
        <v>0</v>
      </c>
      <c r="C163" s="58">
        <f>Inputs!$B$17</f>
        <v>0.08</v>
      </c>
      <c r="D163" s="58">
        <f>Inputs!$C$17</f>
        <v>0</v>
      </c>
      <c r="E163">
        <v>1</v>
      </c>
      <c r="F163" s="52">
        <f>((NPV_New!$D$18*D163)*C163)*(B163)*E163</f>
        <v>0</v>
      </c>
      <c r="G163" s="60">
        <f>((NPV_New!$D$18*E163)*D163)*(C163)</f>
        <v>0</v>
      </c>
      <c r="H163">
        <f t="shared" si="39"/>
        <v>0</v>
      </c>
      <c r="J163" s="5" t="s">
        <v>445</v>
      </c>
      <c r="K163" s="152">
        <f t="shared" si="40"/>
        <v>3.3333333333333333E-2</v>
      </c>
      <c r="L163" s="152">
        <f t="shared" si="41"/>
        <v>0</v>
      </c>
      <c r="M163" s="152">
        <f t="shared" si="42"/>
        <v>0</v>
      </c>
      <c r="N163" s="152">
        <f t="shared" si="43"/>
        <v>0</v>
      </c>
      <c r="O163" s="152">
        <f t="shared" si="44"/>
        <v>0</v>
      </c>
      <c r="P163" s="152">
        <f t="shared" si="45"/>
        <v>0</v>
      </c>
      <c r="Q163" s="152">
        <f t="shared" si="46"/>
        <v>0</v>
      </c>
      <c r="R163" s="152">
        <f t="shared" si="47"/>
        <v>0</v>
      </c>
      <c r="S163" s="152">
        <f t="shared" si="48"/>
        <v>0</v>
      </c>
      <c r="T163" s="152">
        <f t="shared" si="49"/>
        <v>0</v>
      </c>
      <c r="U163" s="152">
        <f t="shared" si="50"/>
        <v>0</v>
      </c>
    </row>
    <row r="164" spans="1:21">
      <c r="A164">
        <v>17</v>
      </c>
      <c r="B164" s="24">
        <f>Inputs!$B$54</f>
        <v>0</v>
      </c>
      <c r="C164" s="58">
        <f>Inputs!$B$17</f>
        <v>0.08</v>
      </c>
      <c r="D164" s="58">
        <f>Inputs!$C$17</f>
        <v>0</v>
      </c>
      <c r="E164">
        <v>1</v>
      </c>
      <c r="F164" s="52">
        <f>((NPV_New!$D$18*D164)*C164)*(B164)*E164</f>
        <v>0</v>
      </c>
      <c r="G164" s="60">
        <f>((NPV_New!$D$18*E164)*D164)*(C164)</f>
        <v>0</v>
      </c>
      <c r="H164">
        <f t="shared" si="39"/>
        <v>0</v>
      </c>
      <c r="J164" s="5" t="s">
        <v>446</v>
      </c>
      <c r="K164" s="152">
        <f t="shared" si="40"/>
        <v>6.6666666666666666E-2</v>
      </c>
      <c r="L164" s="152">
        <f t="shared" si="41"/>
        <v>0</v>
      </c>
      <c r="M164" s="152">
        <f t="shared" si="42"/>
        <v>0</v>
      </c>
      <c r="N164" s="152">
        <f t="shared" si="43"/>
        <v>0</v>
      </c>
      <c r="O164" s="152">
        <f t="shared" si="44"/>
        <v>0</v>
      </c>
      <c r="P164" s="152">
        <f t="shared" si="45"/>
        <v>0</v>
      </c>
      <c r="Q164" s="152">
        <f t="shared" si="46"/>
        <v>0</v>
      </c>
      <c r="R164" s="152">
        <f t="shared" si="47"/>
        <v>0</v>
      </c>
      <c r="S164" s="152">
        <f t="shared" si="48"/>
        <v>0</v>
      </c>
      <c r="T164" s="152">
        <f t="shared" si="49"/>
        <v>0</v>
      </c>
      <c r="U164" s="152">
        <f t="shared" si="50"/>
        <v>0</v>
      </c>
    </row>
    <row r="165" spans="1:21">
      <c r="A165">
        <v>18</v>
      </c>
      <c r="B165" s="24">
        <f>Inputs!$B$54</f>
        <v>0</v>
      </c>
      <c r="C165" s="58">
        <f>Inputs!$B$17</f>
        <v>0.08</v>
      </c>
      <c r="D165" s="58">
        <f>Inputs!$C$17</f>
        <v>0</v>
      </c>
      <c r="E165">
        <v>1</v>
      </c>
      <c r="F165" s="52">
        <f>((NPV_New!$D$18*D165)*C165)*(B165)*E165</f>
        <v>0</v>
      </c>
      <c r="G165" s="60">
        <f>((NPV_New!$D$18*E165)*D165)*(C165)</f>
        <v>0</v>
      </c>
      <c r="H165">
        <f t="shared" si="39"/>
        <v>0</v>
      </c>
      <c r="J165" s="5" t="s">
        <v>447</v>
      </c>
      <c r="K165" s="152">
        <f t="shared" si="40"/>
        <v>0.1</v>
      </c>
      <c r="L165" s="152">
        <f t="shared" si="41"/>
        <v>0</v>
      </c>
      <c r="M165" s="152">
        <f t="shared" si="42"/>
        <v>0</v>
      </c>
      <c r="N165" s="152">
        <f t="shared" si="43"/>
        <v>0</v>
      </c>
      <c r="O165" s="152">
        <f t="shared" si="44"/>
        <v>0</v>
      </c>
      <c r="P165" s="152">
        <f t="shared" si="45"/>
        <v>0</v>
      </c>
      <c r="Q165" s="152">
        <f t="shared" si="46"/>
        <v>0</v>
      </c>
      <c r="R165" s="152">
        <f t="shared" si="47"/>
        <v>0</v>
      </c>
      <c r="S165" s="152">
        <f t="shared" si="48"/>
        <v>0</v>
      </c>
      <c r="T165" s="152">
        <f t="shared" si="49"/>
        <v>0</v>
      </c>
      <c r="U165" s="152">
        <f t="shared" si="50"/>
        <v>0</v>
      </c>
    </row>
    <row r="166" spans="1:21">
      <c r="A166">
        <v>19</v>
      </c>
      <c r="B166" s="24">
        <f>Inputs!$B$54</f>
        <v>0</v>
      </c>
      <c r="C166" s="58">
        <f>Inputs!$B$17</f>
        <v>0.08</v>
      </c>
      <c r="D166" s="58">
        <f>Inputs!$C$17</f>
        <v>0</v>
      </c>
      <c r="E166">
        <v>1</v>
      </c>
      <c r="F166" s="52">
        <f>((NPV_New!$D$18*D166)*C166)*(B166)*E166</f>
        <v>0</v>
      </c>
      <c r="G166" s="60">
        <f>((NPV_New!$D$18*E166)*D166)*(C166)</f>
        <v>0</v>
      </c>
      <c r="H166">
        <f t="shared" si="39"/>
        <v>0</v>
      </c>
      <c r="J166" s="5" t="s">
        <v>448</v>
      </c>
      <c r="K166" s="152">
        <f t="shared" si="40"/>
        <v>0.1</v>
      </c>
      <c r="L166" s="152">
        <f t="shared" si="41"/>
        <v>0</v>
      </c>
      <c r="M166" s="152">
        <f t="shared" si="42"/>
        <v>0</v>
      </c>
      <c r="N166" s="152">
        <f t="shared" si="43"/>
        <v>0</v>
      </c>
      <c r="O166" s="152">
        <f t="shared" si="44"/>
        <v>0</v>
      </c>
      <c r="P166" s="152">
        <f t="shared" si="45"/>
        <v>0</v>
      </c>
      <c r="Q166" s="152">
        <f t="shared" si="46"/>
        <v>0</v>
      </c>
      <c r="R166" s="152">
        <f t="shared" si="47"/>
        <v>0</v>
      </c>
      <c r="S166" s="152">
        <f t="shared" si="48"/>
        <v>0</v>
      </c>
      <c r="T166" s="152">
        <f t="shared" si="49"/>
        <v>0</v>
      </c>
      <c r="U166" s="152">
        <f t="shared" si="50"/>
        <v>0</v>
      </c>
    </row>
    <row r="167" spans="1:21">
      <c r="A167">
        <v>20</v>
      </c>
      <c r="B167" s="24">
        <f>Inputs!$B$54</f>
        <v>0</v>
      </c>
      <c r="C167" s="58">
        <f>Inputs!$B$17</f>
        <v>0.08</v>
      </c>
      <c r="D167" s="58">
        <f>Inputs!$C$17</f>
        <v>0</v>
      </c>
      <c r="E167">
        <v>1</v>
      </c>
      <c r="F167" s="52">
        <f>((NPV_New!$D$18*D167)*C167)*(B167)*E167</f>
        <v>0</v>
      </c>
      <c r="G167" s="60">
        <f>((NPV_New!$D$18*E167)*D167)*(C167)</f>
        <v>0</v>
      </c>
      <c r="H167">
        <f t="shared" si="39"/>
        <v>0</v>
      </c>
      <c r="J167" s="5" t="s">
        <v>449</v>
      </c>
      <c r="K167" s="152">
        <f t="shared" si="40"/>
        <v>0.1</v>
      </c>
      <c r="L167" s="152">
        <f t="shared" si="41"/>
        <v>0</v>
      </c>
      <c r="M167" s="152">
        <f t="shared" si="42"/>
        <v>0</v>
      </c>
      <c r="N167" s="152">
        <f t="shared" si="43"/>
        <v>0</v>
      </c>
      <c r="O167" s="152">
        <f t="shared" si="44"/>
        <v>0</v>
      </c>
      <c r="P167" s="152">
        <f t="shared" si="45"/>
        <v>0</v>
      </c>
      <c r="Q167" s="152">
        <f t="shared" si="46"/>
        <v>0</v>
      </c>
      <c r="R167" s="152">
        <f t="shared" si="47"/>
        <v>0</v>
      </c>
      <c r="S167" s="152">
        <f t="shared" si="48"/>
        <v>0</v>
      </c>
      <c r="T167" s="152">
        <f t="shared" si="49"/>
        <v>0</v>
      </c>
      <c r="U167" s="152">
        <f t="shared" si="50"/>
        <v>0</v>
      </c>
    </row>
    <row r="168" spans="1:21">
      <c r="G168" s="60"/>
      <c r="J168" s="5" t="s">
        <v>450</v>
      </c>
      <c r="K168" s="152">
        <f t="shared" si="40"/>
        <v>0.1</v>
      </c>
      <c r="L168" s="152">
        <f t="shared" si="41"/>
        <v>0</v>
      </c>
      <c r="M168" s="152">
        <f t="shared" si="42"/>
        <v>0</v>
      </c>
      <c r="N168" s="152">
        <f t="shared" si="43"/>
        <v>0</v>
      </c>
      <c r="O168" s="152">
        <f t="shared" si="44"/>
        <v>0</v>
      </c>
      <c r="P168" s="152">
        <f t="shared" si="45"/>
        <v>0</v>
      </c>
      <c r="Q168" s="152">
        <f t="shared" si="46"/>
        <v>0</v>
      </c>
      <c r="R168" s="152">
        <f t="shared" si="47"/>
        <v>0</v>
      </c>
      <c r="S168" s="152">
        <f t="shared" si="48"/>
        <v>0</v>
      </c>
      <c r="T168" s="152">
        <f t="shared" si="49"/>
        <v>0</v>
      </c>
      <c r="U168" s="152">
        <f t="shared" si="50"/>
        <v>0</v>
      </c>
    </row>
    <row r="169" spans="1:21">
      <c r="G169" s="60"/>
      <c r="J169" s="5" t="s">
        <v>451</v>
      </c>
      <c r="K169" s="152">
        <f t="shared" si="40"/>
        <v>0.1</v>
      </c>
      <c r="L169" s="152">
        <f t="shared" si="41"/>
        <v>0</v>
      </c>
      <c r="M169" s="152">
        <f t="shared" si="42"/>
        <v>0</v>
      </c>
      <c r="N169" s="152">
        <f t="shared" si="43"/>
        <v>0</v>
      </c>
      <c r="O169" s="152">
        <f t="shared" si="44"/>
        <v>0</v>
      </c>
      <c r="P169" s="152">
        <f t="shared" si="45"/>
        <v>0</v>
      </c>
      <c r="Q169" s="152">
        <f t="shared" si="46"/>
        <v>0</v>
      </c>
      <c r="R169" s="152">
        <f t="shared" si="47"/>
        <v>0</v>
      </c>
      <c r="S169" s="152">
        <f t="shared" si="48"/>
        <v>0</v>
      </c>
      <c r="T169" s="152">
        <f t="shared" si="49"/>
        <v>0</v>
      </c>
      <c r="U169" s="152">
        <f t="shared" si="50"/>
        <v>0</v>
      </c>
    </row>
    <row r="170" spans="1:21">
      <c r="A170" s="5" t="s">
        <v>52</v>
      </c>
      <c r="B170" s="5" t="s">
        <v>571</v>
      </c>
      <c r="C170" s="5" t="s">
        <v>572</v>
      </c>
      <c r="D170" s="5" t="s">
        <v>573</v>
      </c>
      <c r="E170" s="5" t="s">
        <v>574</v>
      </c>
      <c r="F170" s="5" t="s">
        <v>575</v>
      </c>
      <c r="G170" s="5" t="s">
        <v>576</v>
      </c>
      <c r="H170" s="5" t="s">
        <v>577</v>
      </c>
      <c r="J170" s="5" t="s">
        <v>452</v>
      </c>
      <c r="K170" s="152">
        <f t="shared" si="40"/>
        <v>0.1</v>
      </c>
      <c r="L170" s="152">
        <f t="shared" si="41"/>
        <v>0</v>
      </c>
      <c r="M170" s="152">
        <f t="shared" si="42"/>
        <v>0</v>
      </c>
      <c r="N170" s="152">
        <f t="shared" si="43"/>
        <v>0</v>
      </c>
      <c r="O170" s="152">
        <f t="shared" si="44"/>
        <v>0</v>
      </c>
      <c r="P170" s="152">
        <f t="shared" si="45"/>
        <v>0</v>
      </c>
      <c r="Q170" s="152">
        <f t="shared" si="46"/>
        <v>0</v>
      </c>
      <c r="R170" s="152">
        <f t="shared" si="47"/>
        <v>0</v>
      </c>
      <c r="S170" s="152">
        <f t="shared" si="48"/>
        <v>0</v>
      </c>
      <c r="T170" s="152">
        <f t="shared" si="49"/>
        <v>0</v>
      </c>
      <c r="U170" s="152">
        <f t="shared" si="50"/>
        <v>0</v>
      </c>
    </row>
    <row r="171" spans="1:21">
      <c r="A171">
        <v>0</v>
      </c>
      <c r="B171" s="24">
        <f>Inputs!$B$55</f>
        <v>0</v>
      </c>
      <c r="C171" s="58">
        <f>Inputs!$B$18</f>
        <v>0.14000000000000001</v>
      </c>
      <c r="D171" s="58">
        <f>Inputs!$C$18</f>
        <v>0</v>
      </c>
      <c r="E171">
        <v>0</v>
      </c>
      <c r="F171" s="52">
        <f>((NPV_New!$D$18*D171)*C171)*(B171)*E171</f>
        <v>0</v>
      </c>
      <c r="G171" s="60">
        <f>((NPV_New!$D$18*E171)*D171)*(C171)</f>
        <v>0</v>
      </c>
      <c r="H171">
        <f t="shared" ref="H171:H191" si="51">G171/100</f>
        <v>0</v>
      </c>
      <c r="J171" s="5" t="s">
        <v>453</v>
      </c>
      <c r="K171" s="152">
        <f t="shared" si="40"/>
        <v>0.1</v>
      </c>
      <c r="L171" s="152">
        <f t="shared" si="41"/>
        <v>0</v>
      </c>
      <c r="M171" s="152">
        <f t="shared" si="42"/>
        <v>0</v>
      </c>
      <c r="N171" s="152">
        <f t="shared" si="43"/>
        <v>0</v>
      </c>
      <c r="O171" s="152">
        <f t="shared" si="44"/>
        <v>0</v>
      </c>
      <c r="P171" s="152">
        <f t="shared" si="45"/>
        <v>0</v>
      </c>
      <c r="Q171" s="152">
        <f t="shared" si="46"/>
        <v>0</v>
      </c>
      <c r="R171" s="152">
        <f t="shared" si="47"/>
        <v>0</v>
      </c>
      <c r="S171" s="152">
        <f t="shared" si="48"/>
        <v>0</v>
      </c>
      <c r="T171" s="152">
        <f t="shared" si="49"/>
        <v>0</v>
      </c>
      <c r="U171" s="152">
        <f t="shared" si="50"/>
        <v>0</v>
      </c>
    </row>
    <row r="172" spans="1:21">
      <c r="A172">
        <v>1</v>
      </c>
      <c r="B172" s="24">
        <f>Inputs!$B$55</f>
        <v>0</v>
      </c>
      <c r="C172" s="58">
        <f>Inputs!$B$18</f>
        <v>0.14000000000000001</v>
      </c>
      <c r="D172" s="58">
        <f>Inputs!$C$18</f>
        <v>0</v>
      </c>
      <c r="E172">
        <f>E174/3</f>
        <v>0.33333333333333331</v>
      </c>
      <c r="F172" s="52">
        <f>((NPV_New!$D$18*D172)*C172)*(B172)*E172</f>
        <v>0</v>
      </c>
      <c r="G172" s="60">
        <f>((NPV_New!$D$18*E172)*D172)*(C172)</f>
        <v>0</v>
      </c>
      <c r="H172">
        <f t="shared" si="51"/>
        <v>0</v>
      </c>
      <c r="J172" s="5" t="s">
        <v>454</v>
      </c>
      <c r="K172" s="152">
        <f t="shared" si="40"/>
        <v>0.1</v>
      </c>
      <c r="L172" s="152">
        <f t="shared" si="41"/>
        <v>0</v>
      </c>
      <c r="M172" s="152">
        <f t="shared" si="42"/>
        <v>0</v>
      </c>
      <c r="N172" s="152">
        <f t="shared" si="43"/>
        <v>0</v>
      </c>
      <c r="O172" s="152">
        <f t="shared" si="44"/>
        <v>0</v>
      </c>
      <c r="P172" s="152">
        <f t="shared" si="45"/>
        <v>0</v>
      </c>
      <c r="Q172" s="152">
        <f t="shared" si="46"/>
        <v>0</v>
      </c>
      <c r="R172" s="152">
        <f t="shared" si="47"/>
        <v>0</v>
      </c>
      <c r="S172" s="152">
        <f t="shared" si="48"/>
        <v>0</v>
      </c>
      <c r="T172" s="152">
        <f t="shared" si="49"/>
        <v>0</v>
      </c>
      <c r="U172" s="152">
        <f t="shared" si="50"/>
        <v>0</v>
      </c>
    </row>
    <row r="173" spans="1:21">
      <c r="A173">
        <v>2</v>
      </c>
      <c r="B173" s="24">
        <f>Inputs!$B$55</f>
        <v>0</v>
      </c>
      <c r="C173" s="58">
        <f>Inputs!$B$18</f>
        <v>0.14000000000000001</v>
      </c>
      <c r="D173" s="58">
        <f>Inputs!$C$18</f>
        <v>0</v>
      </c>
      <c r="E173">
        <f>E174*(2/3)</f>
        <v>0.66666666666666663</v>
      </c>
      <c r="F173" s="52">
        <f>((NPV_New!$D$18*D173)*C173)*(B173)*E173</f>
        <v>0</v>
      </c>
      <c r="G173" s="60">
        <f>((NPV_New!$D$18*E173)*D173)*(C173)</f>
        <v>0</v>
      </c>
      <c r="H173">
        <f t="shared" si="51"/>
        <v>0</v>
      </c>
      <c r="J173" s="5" t="s">
        <v>455</v>
      </c>
      <c r="K173" s="152">
        <f t="shared" si="40"/>
        <v>0.1</v>
      </c>
      <c r="L173" s="152">
        <f t="shared" si="41"/>
        <v>0</v>
      </c>
      <c r="M173" s="152">
        <f t="shared" si="42"/>
        <v>0</v>
      </c>
      <c r="N173" s="152">
        <f t="shared" si="43"/>
        <v>0</v>
      </c>
      <c r="O173" s="152">
        <f t="shared" si="44"/>
        <v>0</v>
      </c>
      <c r="P173" s="152">
        <f t="shared" si="45"/>
        <v>0</v>
      </c>
      <c r="Q173" s="152">
        <f t="shared" si="46"/>
        <v>0</v>
      </c>
      <c r="R173" s="152">
        <f t="shared" si="47"/>
        <v>0</v>
      </c>
      <c r="S173" s="152">
        <f t="shared" si="48"/>
        <v>0</v>
      </c>
      <c r="T173" s="152">
        <f t="shared" si="49"/>
        <v>0</v>
      </c>
      <c r="U173" s="152">
        <f t="shared" si="50"/>
        <v>0</v>
      </c>
    </row>
    <row r="174" spans="1:21">
      <c r="A174">
        <v>3</v>
      </c>
      <c r="B174" s="24">
        <f>Inputs!$B$55</f>
        <v>0</v>
      </c>
      <c r="C174" s="58">
        <f>Inputs!$B$18</f>
        <v>0.14000000000000001</v>
      </c>
      <c r="D174" s="58">
        <f>Inputs!$C$18</f>
        <v>0</v>
      </c>
      <c r="E174">
        <v>1</v>
      </c>
      <c r="F174" s="52">
        <f>((NPV_New!$D$18*D174)*C174)*(B174)*E174</f>
        <v>0</v>
      </c>
      <c r="G174" s="60">
        <f>((NPV_New!$D$18*E174)*D174)*(C174)</f>
        <v>0</v>
      </c>
      <c r="H174">
        <f t="shared" si="51"/>
        <v>0</v>
      </c>
      <c r="J174" s="5" t="s">
        <v>456</v>
      </c>
      <c r="K174" s="152">
        <f t="shared" si="40"/>
        <v>0.1</v>
      </c>
      <c r="L174" s="152">
        <f t="shared" si="41"/>
        <v>0</v>
      </c>
      <c r="M174" s="152">
        <f t="shared" si="42"/>
        <v>0</v>
      </c>
      <c r="N174" s="152">
        <f t="shared" si="43"/>
        <v>0</v>
      </c>
      <c r="O174" s="152">
        <f t="shared" si="44"/>
        <v>0</v>
      </c>
      <c r="P174" s="152">
        <f t="shared" si="45"/>
        <v>0</v>
      </c>
      <c r="Q174" s="152">
        <f t="shared" si="46"/>
        <v>0</v>
      </c>
      <c r="R174" s="152">
        <f t="shared" si="47"/>
        <v>0</v>
      </c>
      <c r="S174" s="152">
        <f t="shared" si="48"/>
        <v>0</v>
      </c>
      <c r="T174" s="152">
        <f t="shared" si="49"/>
        <v>0</v>
      </c>
      <c r="U174" s="152">
        <f t="shared" si="50"/>
        <v>0</v>
      </c>
    </row>
    <row r="175" spans="1:21">
      <c r="A175">
        <v>4</v>
      </c>
      <c r="B175" s="24">
        <f>Inputs!$B$55</f>
        <v>0</v>
      </c>
      <c r="C175" s="58">
        <f>Inputs!$B$18</f>
        <v>0.14000000000000001</v>
      </c>
      <c r="D175" s="58">
        <f>Inputs!$C$18</f>
        <v>0</v>
      </c>
      <c r="E175">
        <v>1</v>
      </c>
      <c r="F175" s="52">
        <f>((NPV_New!$D$18*D175)*C175)*(B175)*E175</f>
        <v>0</v>
      </c>
      <c r="G175" s="60">
        <f>((NPV_New!$D$18*E175)*D175)*(C175)</f>
        <v>0</v>
      </c>
      <c r="H175">
        <f t="shared" si="51"/>
        <v>0</v>
      </c>
      <c r="J175" s="5" t="s">
        <v>457</v>
      </c>
      <c r="K175" s="152">
        <f t="shared" si="40"/>
        <v>0.1</v>
      </c>
      <c r="L175" s="152">
        <f t="shared" si="41"/>
        <v>0</v>
      </c>
      <c r="M175" s="152">
        <f t="shared" si="42"/>
        <v>0</v>
      </c>
      <c r="N175" s="152">
        <f t="shared" si="43"/>
        <v>0</v>
      </c>
      <c r="O175" s="152">
        <f t="shared" si="44"/>
        <v>0</v>
      </c>
      <c r="P175" s="152">
        <f t="shared" si="45"/>
        <v>0</v>
      </c>
      <c r="Q175" s="152">
        <f t="shared" si="46"/>
        <v>0</v>
      </c>
      <c r="R175" s="152">
        <f t="shared" si="47"/>
        <v>0</v>
      </c>
      <c r="S175" s="152">
        <f t="shared" si="48"/>
        <v>0</v>
      </c>
      <c r="T175" s="152">
        <f t="shared" si="49"/>
        <v>0</v>
      </c>
      <c r="U175" s="152">
        <f t="shared" si="50"/>
        <v>0</v>
      </c>
    </row>
    <row r="176" spans="1:21">
      <c r="A176">
        <v>5</v>
      </c>
      <c r="B176" s="24">
        <f>Inputs!$B$55</f>
        <v>0</v>
      </c>
      <c r="C176" s="58">
        <f>Inputs!$B$18</f>
        <v>0.14000000000000001</v>
      </c>
      <c r="D176" s="58">
        <f>Inputs!$C$18</f>
        <v>0</v>
      </c>
      <c r="E176">
        <v>1</v>
      </c>
      <c r="F176" s="52">
        <f>((NPV_New!$D$18*D176)*C176)*(B176)*E176</f>
        <v>0</v>
      </c>
      <c r="G176" s="60">
        <f>((NPV_New!$D$18*E176)*D176)*(C176)</f>
        <v>0</v>
      </c>
      <c r="H176">
        <f t="shared" si="51"/>
        <v>0</v>
      </c>
      <c r="J176" s="5" t="s">
        <v>458</v>
      </c>
      <c r="K176" s="152">
        <f t="shared" si="40"/>
        <v>0.1</v>
      </c>
      <c r="L176" s="152">
        <f t="shared" si="41"/>
        <v>0</v>
      </c>
      <c r="M176" s="152">
        <f t="shared" si="42"/>
        <v>0</v>
      </c>
      <c r="N176" s="152">
        <f t="shared" si="43"/>
        <v>0</v>
      </c>
      <c r="O176" s="152">
        <f t="shared" si="44"/>
        <v>0</v>
      </c>
      <c r="P176" s="152">
        <f t="shared" si="45"/>
        <v>0</v>
      </c>
      <c r="Q176" s="152">
        <f t="shared" si="46"/>
        <v>0</v>
      </c>
      <c r="R176" s="152">
        <f t="shared" si="47"/>
        <v>0</v>
      </c>
      <c r="S176" s="152">
        <f t="shared" si="48"/>
        <v>0</v>
      </c>
      <c r="T176" s="152">
        <f t="shared" si="49"/>
        <v>0</v>
      </c>
      <c r="U176" s="152">
        <f t="shared" si="50"/>
        <v>0</v>
      </c>
    </row>
    <row r="177" spans="1:21">
      <c r="A177">
        <v>6</v>
      </c>
      <c r="B177" s="24">
        <f>Inputs!$B$55</f>
        <v>0</v>
      </c>
      <c r="C177" s="58">
        <f>Inputs!$B$18</f>
        <v>0.14000000000000001</v>
      </c>
      <c r="D177" s="58">
        <f>Inputs!$C$18</f>
        <v>0</v>
      </c>
      <c r="E177">
        <v>1</v>
      </c>
      <c r="F177" s="52">
        <f>((NPV_New!$D$18*D177)*C177)*(B177)*E177</f>
        <v>0</v>
      </c>
      <c r="G177" s="60">
        <f>((NPV_New!$D$18*E177)*D177)*(C177)</f>
        <v>0</v>
      </c>
      <c r="H177">
        <f t="shared" si="51"/>
        <v>0</v>
      </c>
      <c r="J177" s="5" t="s">
        <v>459</v>
      </c>
      <c r="K177" s="152">
        <f t="shared" si="40"/>
        <v>0.1</v>
      </c>
      <c r="L177" s="152">
        <f t="shared" si="41"/>
        <v>0</v>
      </c>
      <c r="M177" s="152">
        <f t="shared" si="42"/>
        <v>0</v>
      </c>
      <c r="N177" s="152">
        <f t="shared" si="43"/>
        <v>0</v>
      </c>
      <c r="O177" s="152">
        <f t="shared" si="44"/>
        <v>0</v>
      </c>
      <c r="P177" s="152">
        <f t="shared" si="45"/>
        <v>0</v>
      </c>
      <c r="Q177" s="152">
        <f t="shared" si="46"/>
        <v>0</v>
      </c>
      <c r="R177" s="152">
        <f t="shared" si="47"/>
        <v>0</v>
      </c>
      <c r="S177" s="152">
        <f t="shared" si="48"/>
        <v>0</v>
      </c>
      <c r="T177" s="152">
        <f t="shared" si="49"/>
        <v>0</v>
      </c>
      <c r="U177" s="152">
        <f t="shared" si="50"/>
        <v>0</v>
      </c>
    </row>
    <row r="178" spans="1:21">
      <c r="A178">
        <v>7</v>
      </c>
      <c r="B178" s="24">
        <f>Inputs!$B$55</f>
        <v>0</v>
      </c>
      <c r="C178" s="58">
        <f>Inputs!$B$18</f>
        <v>0.14000000000000001</v>
      </c>
      <c r="D178" s="58">
        <f>Inputs!$C$18</f>
        <v>0</v>
      </c>
      <c r="E178">
        <v>1</v>
      </c>
      <c r="F178" s="52">
        <f>((NPV_New!$D$18*D178)*C178)*(B178)*E178</f>
        <v>0</v>
      </c>
      <c r="G178" s="60">
        <f>((NPV_New!$D$18*E178)*D178)*(C178)</f>
        <v>0</v>
      </c>
      <c r="H178">
        <f t="shared" si="51"/>
        <v>0</v>
      </c>
      <c r="J178" s="5" t="s">
        <v>460</v>
      </c>
      <c r="K178" s="152">
        <f t="shared" si="40"/>
        <v>0.1</v>
      </c>
      <c r="L178" s="152">
        <f t="shared" si="41"/>
        <v>0</v>
      </c>
      <c r="M178" s="152">
        <f t="shared" si="42"/>
        <v>0</v>
      </c>
      <c r="N178" s="152">
        <f t="shared" si="43"/>
        <v>0</v>
      </c>
      <c r="O178" s="152">
        <f t="shared" si="44"/>
        <v>0</v>
      </c>
      <c r="P178" s="152">
        <f t="shared" si="45"/>
        <v>0</v>
      </c>
      <c r="Q178" s="152">
        <f t="shared" si="46"/>
        <v>0</v>
      </c>
      <c r="R178" s="152">
        <f t="shared" si="47"/>
        <v>0</v>
      </c>
      <c r="S178" s="152">
        <f t="shared" si="48"/>
        <v>0</v>
      </c>
      <c r="T178" s="152">
        <f t="shared" si="49"/>
        <v>0</v>
      </c>
      <c r="U178" s="152">
        <f t="shared" si="50"/>
        <v>0</v>
      </c>
    </row>
    <row r="179" spans="1:21">
      <c r="A179">
        <v>8</v>
      </c>
      <c r="B179" s="24">
        <f>Inputs!$B$55</f>
        <v>0</v>
      </c>
      <c r="C179" s="58">
        <f>Inputs!$B$18</f>
        <v>0.14000000000000001</v>
      </c>
      <c r="D179" s="58">
        <f>Inputs!$C$18</f>
        <v>0</v>
      </c>
      <c r="E179">
        <v>1</v>
      </c>
      <c r="F179" s="52">
        <f>((NPV_New!$D$18*D179)*C179)*(B179)*E179</f>
        <v>0</v>
      </c>
      <c r="G179" s="60">
        <f>((NPV_New!$D$18*E179)*D179)*(C179)</f>
        <v>0</v>
      </c>
      <c r="H179">
        <f t="shared" si="51"/>
        <v>0</v>
      </c>
      <c r="J179" s="5" t="s">
        <v>461</v>
      </c>
      <c r="K179" s="152">
        <f t="shared" si="40"/>
        <v>0.1</v>
      </c>
      <c r="L179" s="152">
        <f t="shared" si="41"/>
        <v>0</v>
      </c>
      <c r="M179" s="152">
        <f t="shared" si="42"/>
        <v>0</v>
      </c>
      <c r="N179" s="152">
        <f t="shared" si="43"/>
        <v>0</v>
      </c>
      <c r="O179" s="152">
        <f t="shared" si="44"/>
        <v>0</v>
      </c>
      <c r="P179" s="152">
        <f t="shared" si="45"/>
        <v>0</v>
      </c>
      <c r="Q179" s="152">
        <f t="shared" si="46"/>
        <v>0</v>
      </c>
      <c r="R179" s="152">
        <f t="shared" si="47"/>
        <v>0</v>
      </c>
      <c r="S179" s="152">
        <f t="shared" si="48"/>
        <v>0</v>
      </c>
      <c r="T179" s="152">
        <f t="shared" si="49"/>
        <v>0</v>
      </c>
      <c r="U179" s="152">
        <f t="shared" si="50"/>
        <v>0</v>
      </c>
    </row>
    <row r="180" spans="1:21">
      <c r="A180">
        <v>9</v>
      </c>
      <c r="B180" s="24">
        <f>Inputs!$B$55</f>
        <v>0</v>
      </c>
      <c r="C180" s="58">
        <f>Inputs!$B$18</f>
        <v>0.14000000000000001</v>
      </c>
      <c r="D180" s="58">
        <f>Inputs!$C$18</f>
        <v>0</v>
      </c>
      <c r="E180">
        <v>1</v>
      </c>
      <c r="F180" s="52">
        <f>((NPV_New!$D$18*D180)*C180)*(B180)*E180</f>
        <v>0</v>
      </c>
      <c r="G180" s="60">
        <f>((NPV_New!$D$18*E180)*D180)*(C180)</f>
        <v>0</v>
      </c>
      <c r="H180">
        <f t="shared" si="51"/>
        <v>0</v>
      </c>
      <c r="J180" s="5" t="s">
        <v>462</v>
      </c>
      <c r="K180" s="152">
        <f t="shared" si="40"/>
        <v>0.1</v>
      </c>
      <c r="L180" s="152">
        <f t="shared" si="41"/>
        <v>0</v>
      </c>
      <c r="M180" s="152">
        <f t="shared" si="42"/>
        <v>0</v>
      </c>
      <c r="N180" s="152">
        <f t="shared" si="43"/>
        <v>0</v>
      </c>
      <c r="O180" s="152">
        <f t="shared" si="44"/>
        <v>0</v>
      </c>
      <c r="P180" s="152">
        <f t="shared" si="45"/>
        <v>0</v>
      </c>
      <c r="Q180" s="152">
        <f t="shared" si="46"/>
        <v>0</v>
      </c>
      <c r="R180" s="152">
        <f t="shared" si="47"/>
        <v>0</v>
      </c>
      <c r="S180" s="152">
        <f t="shared" si="48"/>
        <v>0</v>
      </c>
      <c r="T180" s="152">
        <f t="shared" si="49"/>
        <v>0</v>
      </c>
      <c r="U180" s="152">
        <f t="shared" si="50"/>
        <v>0</v>
      </c>
    </row>
    <row r="181" spans="1:21">
      <c r="A181">
        <v>10</v>
      </c>
      <c r="B181" s="24">
        <f>Inputs!$B$55</f>
        <v>0</v>
      </c>
      <c r="C181" s="58">
        <f>Inputs!$B$18</f>
        <v>0.14000000000000001</v>
      </c>
      <c r="D181" s="58">
        <f>Inputs!$C$18</f>
        <v>0</v>
      </c>
      <c r="E181">
        <v>1</v>
      </c>
      <c r="F181" s="52">
        <f>((NPV_New!$D$18*D181)*C181)*(B181)*E181</f>
        <v>0</v>
      </c>
      <c r="G181" s="60">
        <f>((NPV_New!$D$18*E181)*D181)*(C181)</f>
        <v>0</v>
      </c>
      <c r="H181">
        <f t="shared" si="51"/>
        <v>0</v>
      </c>
      <c r="J181" s="5" t="s">
        <v>463</v>
      </c>
      <c r="K181" s="152">
        <f t="shared" si="40"/>
        <v>0.1</v>
      </c>
      <c r="L181" s="152">
        <f t="shared" si="41"/>
        <v>0</v>
      </c>
      <c r="M181" s="152">
        <f t="shared" si="42"/>
        <v>0</v>
      </c>
      <c r="N181" s="152">
        <f t="shared" si="43"/>
        <v>0</v>
      </c>
      <c r="O181" s="152">
        <f t="shared" si="44"/>
        <v>0</v>
      </c>
      <c r="P181" s="152">
        <f t="shared" si="45"/>
        <v>0</v>
      </c>
      <c r="Q181" s="152">
        <f t="shared" si="46"/>
        <v>0</v>
      </c>
      <c r="R181" s="152">
        <f t="shared" si="47"/>
        <v>0</v>
      </c>
      <c r="S181" s="152">
        <f t="shared" si="48"/>
        <v>0</v>
      </c>
      <c r="T181" s="152">
        <f t="shared" si="49"/>
        <v>0</v>
      </c>
      <c r="U181" s="152">
        <f t="shared" si="50"/>
        <v>0</v>
      </c>
    </row>
    <row r="182" spans="1:21">
      <c r="A182">
        <v>11</v>
      </c>
      <c r="B182" s="24">
        <f>Inputs!$B$55</f>
        <v>0</v>
      </c>
      <c r="C182" s="58">
        <f>Inputs!$B$18</f>
        <v>0.14000000000000001</v>
      </c>
      <c r="D182" s="58">
        <f>Inputs!$C$18</f>
        <v>0</v>
      </c>
      <c r="E182">
        <v>1</v>
      </c>
      <c r="F182" s="52">
        <f>((NPV_New!$D$18*D182)*C182)*(B182)*E182</f>
        <v>0</v>
      </c>
      <c r="G182" s="60">
        <f>((NPV_New!$D$18*E182)*D182)*(C182)</f>
        <v>0</v>
      </c>
      <c r="H182">
        <f t="shared" si="51"/>
        <v>0</v>
      </c>
      <c r="J182" s="5" t="s">
        <v>464</v>
      </c>
      <c r="K182" s="152">
        <f t="shared" si="40"/>
        <v>0.1</v>
      </c>
      <c r="L182" s="152">
        <f t="shared" si="41"/>
        <v>0</v>
      </c>
      <c r="M182" s="152">
        <f t="shared" si="42"/>
        <v>0</v>
      </c>
      <c r="N182" s="152">
        <f t="shared" si="43"/>
        <v>0</v>
      </c>
      <c r="O182" s="152">
        <f t="shared" si="44"/>
        <v>0</v>
      </c>
      <c r="P182" s="152">
        <f t="shared" si="45"/>
        <v>0</v>
      </c>
      <c r="Q182" s="152">
        <f t="shared" si="46"/>
        <v>0</v>
      </c>
      <c r="R182" s="152">
        <f t="shared" si="47"/>
        <v>0</v>
      </c>
      <c r="S182" s="152">
        <f t="shared" si="48"/>
        <v>0</v>
      </c>
      <c r="T182" s="152">
        <f t="shared" si="49"/>
        <v>0</v>
      </c>
      <c r="U182" s="152">
        <f t="shared" si="50"/>
        <v>0</v>
      </c>
    </row>
    <row r="183" spans="1:21">
      <c r="A183">
        <v>12</v>
      </c>
      <c r="B183" s="24">
        <f>Inputs!$B$55</f>
        <v>0</v>
      </c>
      <c r="C183" s="58">
        <f>Inputs!$B$18</f>
        <v>0.14000000000000001</v>
      </c>
      <c r="D183" s="58">
        <f>Inputs!$C$18</f>
        <v>0</v>
      </c>
      <c r="E183">
        <v>1</v>
      </c>
      <c r="F183" s="52">
        <f>((NPV_New!$D$18*D183)*C183)*(B183)*E183</f>
        <v>0</v>
      </c>
      <c r="G183" s="60">
        <f>((NPV_New!$D$18*E183)*D183)*(C183)</f>
        <v>0</v>
      </c>
      <c r="H183">
        <f t="shared" si="51"/>
        <v>0</v>
      </c>
    </row>
    <row r="184" spans="1:21">
      <c r="A184">
        <v>13</v>
      </c>
      <c r="B184" s="24">
        <f>Inputs!$B$55</f>
        <v>0</v>
      </c>
      <c r="C184" s="58">
        <f>Inputs!$B$18</f>
        <v>0.14000000000000001</v>
      </c>
      <c r="D184" s="58">
        <f>Inputs!$C$18</f>
        <v>0</v>
      </c>
      <c r="E184">
        <v>1</v>
      </c>
      <c r="F184" s="52">
        <f>((NPV_New!$D$18*D184)*C184)*(B184)*E184</f>
        <v>0</v>
      </c>
      <c r="G184" s="60">
        <f>((NPV_New!$D$18*E184)*D184)*(C184)</f>
        <v>0</v>
      </c>
      <c r="H184">
        <f t="shared" si="51"/>
        <v>0</v>
      </c>
    </row>
    <row r="185" spans="1:21">
      <c r="A185">
        <v>14</v>
      </c>
      <c r="B185" s="24">
        <f>Inputs!$B$55</f>
        <v>0</v>
      </c>
      <c r="C185" s="58">
        <f>Inputs!$B$18</f>
        <v>0.14000000000000001</v>
      </c>
      <c r="D185" s="58">
        <f>Inputs!$C$18</f>
        <v>0</v>
      </c>
      <c r="E185">
        <v>1</v>
      </c>
      <c r="F185" s="52">
        <f>((NPV_New!$D$18*D185)*C185)*(B185)*E185</f>
        <v>0</v>
      </c>
      <c r="G185" s="60">
        <f>((NPV_New!$D$18*E185)*D185)*(C185)</f>
        <v>0</v>
      </c>
      <c r="H185">
        <f t="shared" si="51"/>
        <v>0</v>
      </c>
    </row>
    <row r="186" spans="1:21">
      <c r="A186">
        <v>15</v>
      </c>
      <c r="B186" s="24">
        <f>Inputs!$B$55</f>
        <v>0</v>
      </c>
      <c r="C186" s="58">
        <f>Inputs!$B$18</f>
        <v>0.14000000000000001</v>
      </c>
      <c r="D186" s="58">
        <f>Inputs!$C$18</f>
        <v>0</v>
      </c>
      <c r="E186">
        <v>1</v>
      </c>
      <c r="F186" s="52">
        <f>((NPV_New!$D$18*D186)*C186)*(B186)*E186</f>
        <v>0</v>
      </c>
      <c r="G186" s="60">
        <f>((NPV_New!$D$18*E186)*D186)*(C186)</f>
        <v>0</v>
      </c>
      <c r="H186">
        <f t="shared" si="51"/>
        <v>0</v>
      </c>
    </row>
    <row r="187" spans="1:21">
      <c r="A187">
        <v>16</v>
      </c>
      <c r="B187" s="24">
        <f>Inputs!$B$55</f>
        <v>0</v>
      </c>
      <c r="C187" s="58">
        <f>Inputs!$B$18</f>
        <v>0.14000000000000001</v>
      </c>
      <c r="D187" s="58">
        <f>Inputs!$C$18</f>
        <v>0</v>
      </c>
      <c r="E187">
        <v>1</v>
      </c>
      <c r="F187" s="52">
        <f>((NPV_New!$D$18*D187)*C187)*(B187)*E187</f>
        <v>0</v>
      </c>
      <c r="G187" s="60">
        <f>((NPV_New!$D$18*E187)*D187)*(C187)</f>
        <v>0</v>
      </c>
      <c r="H187">
        <f t="shared" si="51"/>
        <v>0</v>
      </c>
    </row>
    <row r="188" spans="1:21">
      <c r="A188">
        <v>17</v>
      </c>
      <c r="B188" s="24">
        <f>Inputs!$B$55</f>
        <v>0</v>
      </c>
      <c r="C188" s="58">
        <f>Inputs!$B$18</f>
        <v>0.14000000000000001</v>
      </c>
      <c r="D188" s="58">
        <f>Inputs!$C$18</f>
        <v>0</v>
      </c>
      <c r="E188">
        <v>1</v>
      </c>
      <c r="F188" s="52">
        <f>((NPV_New!$D$18*D188)*C188)*(B188)*E188</f>
        <v>0</v>
      </c>
      <c r="G188" s="60">
        <f>((NPV_New!$D$18*E188)*D188)*(C188)</f>
        <v>0</v>
      </c>
      <c r="H188">
        <f t="shared" si="51"/>
        <v>0</v>
      </c>
    </row>
    <row r="189" spans="1:21">
      <c r="A189">
        <v>18</v>
      </c>
      <c r="B189" s="24">
        <f>Inputs!$B$55</f>
        <v>0</v>
      </c>
      <c r="C189" s="58">
        <f>Inputs!$B$18</f>
        <v>0.14000000000000001</v>
      </c>
      <c r="D189" s="58">
        <f>Inputs!$C$18</f>
        <v>0</v>
      </c>
      <c r="E189">
        <v>1</v>
      </c>
      <c r="F189" s="52">
        <f>((NPV_New!$D$18*D189)*C189)*(B189)*E189</f>
        <v>0</v>
      </c>
      <c r="G189" s="60">
        <f>((NPV_New!$D$18*E189)*D189)*(C189)</f>
        <v>0</v>
      </c>
      <c r="H189">
        <f t="shared" si="51"/>
        <v>0</v>
      </c>
    </row>
    <row r="190" spans="1:21">
      <c r="A190">
        <v>19</v>
      </c>
      <c r="B190" s="24">
        <f>Inputs!$B$55</f>
        <v>0</v>
      </c>
      <c r="C190" s="58">
        <f>Inputs!$B$18</f>
        <v>0.14000000000000001</v>
      </c>
      <c r="D190" s="58">
        <f>Inputs!$C$18</f>
        <v>0</v>
      </c>
      <c r="E190">
        <v>1</v>
      </c>
      <c r="F190" s="52">
        <f>((NPV_New!$D$18*D190)*C190)*(B190)*E190</f>
        <v>0</v>
      </c>
      <c r="G190" s="60">
        <f>((NPV_New!$D$18*E190)*D190)*(C190)</f>
        <v>0</v>
      </c>
      <c r="H190">
        <f t="shared" si="51"/>
        <v>0</v>
      </c>
    </row>
    <row r="191" spans="1:21">
      <c r="A191">
        <v>20</v>
      </c>
      <c r="B191" s="24">
        <f>Inputs!$B$55</f>
        <v>0</v>
      </c>
      <c r="C191" s="58">
        <f>Inputs!$B$18</f>
        <v>0.14000000000000001</v>
      </c>
      <c r="D191" s="58">
        <f>Inputs!$C$18</f>
        <v>0</v>
      </c>
      <c r="E191">
        <v>1</v>
      </c>
      <c r="F191" s="52">
        <f>((NPV_New!$D$18*D191)*C191)*(B191)*E191</f>
        <v>0</v>
      </c>
      <c r="G191" s="60">
        <f>((NPV_New!$D$18*E191)*D191)*(C191)</f>
        <v>0</v>
      </c>
      <c r="H191">
        <f t="shared" si="51"/>
        <v>0</v>
      </c>
    </row>
    <row r="192" spans="1:21">
      <c r="G192" s="60"/>
    </row>
    <row r="193" spans="1:8">
      <c r="G193" s="60"/>
    </row>
    <row r="194" spans="1:8">
      <c r="A194" s="5" t="s">
        <v>537</v>
      </c>
      <c r="B194" s="5" t="s">
        <v>571</v>
      </c>
      <c r="C194" s="5" t="s">
        <v>572</v>
      </c>
      <c r="D194" s="5" t="s">
        <v>573</v>
      </c>
      <c r="E194" s="5" t="s">
        <v>574</v>
      </c>
      <c r="F194" s="5" t="s">
        <v>575</v>
      </c>
      <c r="G194" s="5" t="s">
        <v>576</v>
      </c>
      <c r="H194" s="5" t="s">
        <v>577</v>
      </c>
    </row>
    <row r="195" spans="1:8">
      <c r="A195">
        <v>0</v>
      </c>
      <c r="B195" s="24">
        <f>Inputs!$B$56</f>
        <v>0</v>
      </c>
      <c r="C195" s="58">
        <f>Inputs!$B$19</f>
        <v>0.125</v>
      </c>
      <c r="D195" s="58">
        <f>Inputs!$C$19</f>
        <v>0</v>
      </c>
      <c r="E195">
        <v>0</v>
      </c>
      <c r="F195" s="52">
        <f>((NPV_New!$D$18*D195)*C195)*(B195)*E195</f>
        <v>0</v>
      </c>
      <c r="G195" s="60">
        <f>((NPV_New!$D$18*E195)*D195)*(C195)</f>
        <v>0</v>
      </c>
      <c r="H195">
        <f t="shared" ref="H195:H215" si="52">G195/100</f>
        <v>0</v>
      </c>
    </row>
    <row r="196" spans="1:8">
      <c r="A196">
        <v>1</v>
      </c>
      <c r="B196" s="24">
        <f>Inputs!$B$56</f>
        <v>0</v>
      </c>
      <c r="C196" s="58">
        <f>Inputs!$B$19</f>
        <v>0.125</v>
      </c>
      <c r="D196" s="58">
        <f>Inputs!$C$19</f>
        <v>0</v>
      </c>
      <c r="E196">
        <f>E198/3</f>
        <v>0.33333333333333331</v>
      </c>
      <c r="F196" s="52">
        <f>((NPV_New!$D$18*D196)*C196)*(B196)*E196</f>
        <v>0</v>
      </c>
      <c r="G196" s="60">
        <f>((NPV_New!$D$18*E196)*D196)*(C196)</f>
        <v>0</v>
      </c>
      <c r="H196">
        <f t="shared" si="52"/>
        <v>0</v>
      </c>
    </row>
    <row r="197" spans="1:8">
      <c r="A197">
        <v>2</v>
      </c>
      <c r="B197" s="24">
        <f>Inputs!$B$56</f>
        <v>0</v>
      </c>
      <c r="C197" s="58">
        <f>Inputs!$B$19</f>
        <v>0.125</v>
      </c>
      <c r="D197" s="58">
        <f>Inputs!$C$19</f>
        <v>0</v>
      </c>
      <c r="E197">
        <f>E198*(2/3)</f>
        <v>0.66666666666666663</v>
      </c>
      <c r="F197" s="52">
        <f>((NPV_New!$D$18*D197)*C197)*(B197)*E197</f>
        <v>0</v>
      </c>
      <c r="G197" s="60">
        <f>((NPV_New!$D$18*E197)*D197)*(C197)</f>
        <v>0</v>
      </c>
      <c r="H197">
        <f t="shared" si="52"/>
        <v>0</v>
      </c>
    </row>
    <row r="198" spans="1:8">
      <c r="A198">
        <v>3</v>
      </c>
      <c r="B198" s="24">
        <f>Inputs!$B$56</f>
        <v>0</v>
      </c>
      <c r="C198" s="58">
        <f>Inputs!$B$19</f>
        <v>0.125</v>
      </c>
      <c r="D198" s="58">
        <f>Inputs!$C$19</f>
        <v>0</v>
      </c>
      <c r="E198">
        <v>1</v>
      </c>
      <c r="F198" s="52">
        <f>((NPV_New!$D$18*D198)*C198)*(B198)*E198</f>
        <v>0</v>
      </c>
      <c r="G198" s="60">
        <f>((NPV_New!$D$18*E198)*D198)*(C198)</f>
        <v>0</v>
      </c>
      <c r="H198">
        <f t="shared" si="52"/>
        <v>0</v>
      </c>
    </row>
    <row r="199" spans="1:8">
      <c r="A199">
        <v>4</v>
      </c>
      <c r="B199" s="24">
        <f>Inputs!$B$56</f>
        <v>0</v>
      </c>
      <c r="C199" s="58">
        <f>Inputs!$B$19</f>
        <v>0.125</v>
      </c>
      <c r="D199" s="58">
        <f>Inputs!$C$19</f>
        <v>0</v>
      </c>
      <c r="E199">
        <v>1</v>
      </c>
      <c r="F199" s="52">
        <f>((NPV_New!$D$18*D199)*C199)*(B199)*E199</f>
        <v>0</v>
      </c>
      <c r="G199" s="60">
        <f>((NPV_New!$D$18*E199)*D199)*(C199)</f>
        <v>0</v>
      </c>
      <c r="H199">
        <f t="shared" si="52"/>
        <v>0</v>
      </c>
    </row>
    <row r="200" spans="1:8">
      <c r="A200">
        <v>5</v>
      </c>
      <c r="B200" s="24">
        <f>Inputs!$B$56</f>
        <v>0</v>
      </c>
      <c r="C200" s="58">
        <f>Inputs!$B$19</f>
        <v>0.125</v>
      </c>
      <c r="D200" s="58">
        <f>Inputs!$C$19</f>
        <v>0</v>
      </c>
      <c r="E200">
        <v>1</v>
      </c>
      <c r="F200" s="52">
        <f>((NPV_New!$D$18*D200)*C200)*(B200)*E200</f>
        <v>0</v>
      </c>
      <c r="G200" s="60">
        <f>((NPV_New!$D$18*E200)*D200)*(C200)</f>
        <v>0</v>
      </c>
      <c r="H200">
        <f t="shared" si="52"/>
        <v>0</v>
      </c>
    </row>
    <row r="201" spans="1:8">
      <c r="A201">
        <v>6</v>
      </c>
      <c r="B201" s="24">
        <f>Inputs!$B$56</f>
        <v>0</v>
      </c>
      <c r="C201" s="58">
        <f>Inputs!$B$19</f>
        <v>0.125</v>
      </c>
      <c r="D201" s="58">
        <f>Inputs!$C$19</f>
        <v>0</v>
      </c>
      <c r="E201">
        <v>1</v>
      </c>
      <c r="F201" s="52">
        <f>((NPV_New!$D$18*D201)*C201)*(B201)*E201</f>
        <v>0</v>
      </c>
      <c r="G201" s="60">
        <f>((NPV_New!$D$18*E201)*D201)*(C201)</f>
        <v>0</v>
      </c>
      <c r="H201">
        <f t="shared" si="52"/>
        <v>0</v>
      </c>
    </row>
    <row r="202" spans="1:8">
      <c r="A202">
        <v>7</v>
      </c>
      <c r="B202" s="24">
        <f>Inputs!$B$56</f>
        <v>0</v>
      </c>
      <c r="C202" s="58">
        <f>Inputs!$B$19</f>
        <v>0.125</v>
      </c>
      <c r="D202" s="58">
        <f>Inputs!$C$19</f>
        <v>0</v>
      </c>
      <c r="E202">
        <v>1</v>
      </c>
      <c r="F202" s="52">
        <f>((NPV_New!$D$18*D202)*C202)*(B202)*E202</f>
        <v>0</v>
      </c>
      <c r="G202" s="60">
        <f>((NPV_New!$D$18*E202)*D202)*(C202)</f>
        <v>0</v>
      </c>
      <c r="H202">
        <f t="shared" si="52"/>
        <v>0</v>
      </c>
    </row>
    <row r="203" spans="1:8">
      <c r="A203">
        <v>8</v>
      </c>
      <c r="B203" s="24">
        <f>Inputs!$B$56</f>
        <v>0</v>
      </c>
      <c r="C203" s="58">
        <f>Inputs!$B$19</f>
        <v>0.125</v>
      </c>
      <c r="D203" s="58">
        <f>Inputs!$C$19</f>
        <v>0</v>
      </c>
      <c r="E203">
        <v>1</v>
      </c>
      <c r="F203" s="52">
        <f>((NPV_New!$D$18*D203)*C203)*(B203)*E203</f>
        <v>0</v>
      </c>
      <c r="G203" s="60">
        <f>((NPV_New!$D$18*E203)*D203)*(C203)</f>
        <v>0</v>
      </c>
      <c r="H203">
        <f t="shared" si="52"/>
        <v>0</v>
      </c>
    </row>
    <row r="204" spans="1:8">
      <c r="A204">
        <v>9</v>
      </c>
      <c r="B204" s="24">
        <f>Inputs!$B$56</f>
        <v>0</v>
      </c>
      <c r="C204" s="58">
        <f>Inputs!$B$19</f>
        <v>0.125</v>
      </c>
      <c r="D204" s="58">
        <f>Inputs!$C$19</f>
        <v>0</v>
      </c>
      <c r="E204">
        <v>1</v>
      </c>
      <c r="F204" s="52">
        <f>((NPV_New!$D$18*D204)*C204)*(B204)*E204</f>
        <v>0</v>
      </c>
      <c r="G204" s="60">
        <f>((NPV_New!$D$18*E204)*D204)*(C204)</f>
        <v>0</v>
      </c>
      <c r="H204">
        <f t="shared" si="52"/>
        <v>0</v>
      </c>
    </row>
    <row r="205" spans="1:8">
      <c r="A205">
        <v>10</v>
      </c>
      <c r="B205" s="24">
        <f>Inputs!$B$56</f>
        <v>0</v>
      </c>
      <c r="C205" s="58">
        <f>Inputs!$B$19</f>
        <v>0.125</v>
      </c>
      <c r="D205" s="58">
        <f>Inputs!$C$19</f>
        <v>0</v>
      </c>
      <c r="E205">
        <v>1</v>
      </c>
      <c r="F205" s="52">
        <f>((NPV_New!$D$18*D205)*C205)*(B205)*E205</f>
        <v>0</v>
      </c>
      <c r="G205" s="60">
        <f>((NPV_New!$D$18*E205)*D205)*(C205)</f>
        <v>0</v>
      </c>
      <c r="H205">
        <f t="shared" si="52"/>
        <v>0</v>
      </c>
    </row>
    <row r="206" spans="1:8">
      <c r="A206">
        <v>11</v>
      </c>
      <c r="B206" s="24">
        <f>Inputs!$B$56</f>
        <v>0</v>
      </c>
      <c r="C206" s="58">
        <f>Inputs!$B$19</f>
        <v>0.125</v>
      </c>
      <c r="D206" s="58">
        <f>Inputs!$C$19</f>
        <v>0</v>
      </c>
      <c r="E206">
        <v>1</v>
      </c>
      <c r="F206" s="52">
        <f>((NPV_New!$D$18*D206)*C206)*(B206)*E206</f>
        <v>0</v>
      </c>
      <c r="G206" s="60">
        <f>((NPV_New!$D$18*E206)*D206)*(C206)</f>
        <v>0</v>
      </c>
      <c r="H206">
        <f t="shared" si="52"/>
        <v>0</v>
      </c>
    </row>
    <row r="207" spans="1:8">
      <c r="A207">
        <v>12</v>
      </c>
      <c r="B207" s="24">
        <f>Inputs!$B$56</f>
        <v>0</v>
      </c>
      <c r="C207" s="58">
        <f>Inputs!$B$19</f>
        <v>0.125</v>
      </c>
      <c r="D207" s="58">
        <f>Inputs!$C$19</f>
        <v>0</v>
      </c>
      <c r="E207">
        <v>1</v>
      </c>
      <c r="F207" s="52">
        <f>((NPV_New!$D$18*D207)*C207)*(B207)*E207</f>
        <v>0</v>
      </c>
      <c r="G207" s="60">
        <f>((NPV_New!$D$18*E207)*D207)*(C207)</f>
        <v>0</v>
      </c>
      <c r="H207">
        <f t="shared" si="52"/>
        <v>0</v>
      </c>
    </row>
    <row r="208" spans="1:8">
      <c r="A208">
        <v>13</v>
      </c>
      <c r="B208" s="24">
        <f>Inputs!$B$56</f>
        <v>0</v>
      </c>
      <c r="C208" s="58">
        <f>Inputs!$B$19</f>
        <v>0.125</v>
      </c>
      <c r="D208" s="58">
        <f>Inputs!$C$19</f>
        <v>0</v>
      </c>
      <c r="E208">
        <v>1</v>
      </c>
      <c r="F208" s="52">
        <f>((NPV_New!$D$18*D208)*C208)*(B208)*E208</f>
        <v>0</v>
      </c>
      <c r="G208" s="60">
        <f>((NPV_New!$D$18*E208)*D208)*(C208)</f>
        <v>0</v>
      </c>
      <c r="H208">
        <f t="shared" si="52"/>
        <v>0</v>
      </c>
    </row>
    <row r="209" spans="1:8">
      <c r="A209">
        <v>14</v>
      </c>
      <c r="B209" s="24">
        <f>Inputs!$B$56</f>
        <v>0</v>
      </c>
      <c r="C209" s="58">
        <f>Inputs!$B$19</f>
        <v>0.125</v>
      </c>
      <c r="D209" s="58">
        <f>Inputs!$C$19</f>
        <v>0</v>
      </c>
      <c r="E209">
        <v>1</v>
      </c>
      <c r="F209" s="52">
        <f>((NPV_New!$D$18*D209)*C209)*(B209)*E209</f>
        <v>0</v>
      </c>
      <c r="G209" s="60">
        <f>((NPV_New!$D$18*E209)*D209)*(C209)</f>
        <v>0</v>
      </c>
      <c r="H209">
        <f t="shared" si="52"/>
        <v>0</v>
      </c>
    </row>
    <row r="210" spans="1:8">
      <c r="A210">
        <v>15</v>
      </c>
      <c r="B210" s="24">
        <f>Inputs!$B$56</f>
        <v>0</v>
      </c>
      <c r="C210" s="58">
        <f>Inputs!$B$19</f>
        <v>0.125</v>
      </c>
      <c r="D210" s="58">
        <f>Inputs!$C$19</f>
        <v>0</v>
      </c>
      <c r="E210">
        <v>1</v>
      </c>
      <c r="F210" s="52">
        <f>((NPV_New!$D$18*D210)*C210)*(B210)*E210</f>
        <v>0</v>
      </c>
      <c r="G210" s="60">
        <f>((NPV_New!$D$18*E210)*D210)*(C210)</f>
        <v>0</v>
      </c>
      <c r="H210">
        <f t="shared" si="52"/>
        <v>0</v>
      </c>
    </row>
    <row r="211" spans="1:8">
      <c r="A211">
        <v>16</v>
      </c>
      <c r="B211" s="24">
        <f>Inputs!$B$56</f>
        <v>0</v>
      </c>
      <c r="C211" s="58">
        <f>Inputs!$B$19</f>
        <v>0.125</v>
      </c>
      <c r="D211" s="58">
        <f>Inputs!$C$19</f>
        <v>0</v>
      </c>
      <c r="E211">
        <v>1</v>
      </c>
      <c r="F211" s="52">
        <f>((NPV_New!$D$18*D211)*C211)*(B211)*E211</f>
        <v>0</v>
      </c>
      <c r="G211" s="60">
        <f>((NPV_New!$D$18*E211)*D211)*(C211)</f>
        <v>0</v>
      </c>
      <c r="H211">
        <f t="shared" si="52"/>
        <v>0</v>
      </c>
    </row>
    <row r="212" spans="1:8">
      <c r="A212">
        <v>17</v>
      </c>
      <c r="B212" s="24">
        <f>Inputs!$B$56</f>
        <v>0</v>
      </c>
      <c r="C212" s="58">
        <f>Inputs!$B$19</f>
        <v>0.125</v>
      </c>
      <c r="D212" s="58">
        <f>Inputs!$C$19</f>
        <v>0</v>
      </c>
      <c r="E212">
        <v>1</v>
      </c>
      <c r="F212" s="52">
        <f>((NPV_New!$D$18*D212)*C212)*(B212)*E212</f>
        <v>0</v>
      </c>
      <c r="G212" s="60">
        <f>((NPV_New!$D$18*E212)*D212)*(C212)</f>
        <v>0</v>
      </c>
      <c r="H212">
        <f t="shared" si="52"/>
        <v>0</v>
      </c>
    </row>
    <row r="213" spans="1:8">
      <c r="A213">
        <v>18</v>
      </c>
      <c r="B213" s="24">
        <f>Inputs!$B$56</f>
        <v>0</v>
      </c>
      <c r="C213" s="58">
        <f>Inputs!$B$19</f>
        <v>0.125</v>
      </c>
      <c r="D213" s="58">
        <f>Inputs!$C$19</f>
        <v>0</v>
      </c>
      <c r="E213">
        <v>1</v>
      </c>
      <c r="F213" s="52">
        <f>((NPV_New!$D$18*D213)*C213)*(B213)*E213</f>
        <v>0</v>
      </c>
      <c r="G213" s="60">
        <f>((NPV_New!$D$18*E213)*D213)*(C213)</f>
        <v>0</v>
      </c>
      <c r="H213">
        <f t="shared" si="52"/>
        <v>0</v>
      </c>
    </row>
    <row r="214" spans="1:8">
      <c r="A214">
        <v>19</v>
      </c>
      <c r="B214" s="24">
        <f>Inputs!$B$56</f>
        <v>0</v>
      </c>
      <c r="C214" s="58">
        <f>Inputs!$B$19</f>
        <v>0.125</v>
      </c>
      <c r="D214" s="58">
        <f>Inputs!$C$19</f>
        <v>0</v>
      </c>
      <c r="E214">
        <v>1</v>
      </c>
      <c r="F214" s="52">
        <f>((NPV_New!$D$18*D214)*C214)*(B214)*E214</f>
        <v>0</v>
      </c>
      <c r="G214" s="60">
        <f>((NPV_New!$D$18*E214)*D214)*(C214)</f>
        <v>0</v>
      </c>
      <c r="H214">
        <f t="shared" si="52"/>
        <v>0</v>
      </c>
    </row>
    <row r="215" spans="1:8">
      <c r="A215">
        <v>20</v>
      </c>
      <c r="B215" s="24">
        <f>Inputs!$B$56</f>
        <v>0</v>
      </c>
      <c r="C215" s="58">
        <f>Inputs!$B$19</f>
        <v>0.125</v>
      </c>
      <c r="D215" s="58">
        <f>Inputs!$C$19</f>
        <v>0</v>
      </c>
      <c r="E215">
        <v>1</v>
      </c>
      <c r="F215" s="52">
        <f>((NPV_New!$D$18*D215)*C215)*(B215)*E215</f>
        <v>0</v>
      </c>
      <c r="G215" s="60">
        <f>((NPV_New!$D$18*E215)*D215)*(C215)</f>
        <v>0</v>
      </c>
      <c r="H215">
        <f t="shared" si="52"/>
        <v>0</v>
      </c>
    </row>
    <row r="216" spans="1:8">
      <c r="G216" s="60"/>
    </row>
    <row r="217" spans="1:8">
      <c r="A217" s="5"/>
      <c r="B217" s="5"/>
      <c r="C217" s="5"/>
      <c r="D217" s="5"/>
      <c r="E217" s="5"/>
      <c r="F217" s="5"/>
      <c r="G217" s="60"/>
    </row>
    <row r="218" spans="1:8">
      <c r="A218" s="5" t="s">
        <v>58</v>
      </c>
      <c r="B218" s="5" t="s">
        <v>571</v>
      </c>
      <c r="C218" s="5" t="s">
        <v>572</v>
      </c>
      <c r="D218" s="5" t="s">
        <v>573</v>
      </c>
      <c r="E218" s="5" t="s">
        <v>574</v>
      </c>
      <c r="F218" s="5" t="s">
        <v>575</v>
      </c>
      <c r="G218" s="5" t="s">
        <v>576</v>
      </c>
      <c r="H218" s="5" t="s">
        <v>577</v>
      </c>
    </row>
    <row r="219" spans="1:8">
      <c r="A219">
        <v>0</v>
      </c>
      <c r="B219" s="24">
        <f>Inputs!$B$57</f>
        <v>0</v>
      </c>
      <c r="C219" s="58">
        <f>Inputs!$B$20</f>
        <v>0.09</v>
      </c>
      <c r="D219" s="58">
        <f>Inputs!$C$20</f>
        <v>0</v>
      </c>
      <c r="E219">
        <v>0</v>
      </c>
      <c r="F219" s="52">
        <f>((NPV_New!$D$18*D219)*C219)*(B219)*E219</f>
        <v>0</v>
      </c>
      <c r="G219" s="60">
        <f>((NPV_New!$D$18*E219)*D219)*(C219)</f>
        <v>0</v>
      </c>
      <c r="H219">
        <f t="shared" ref="H219:H239" si="53">G219/100</f>
        <v>0</v>
      </c>
    </row>
    <row r="220" spans="1:8">
      <c r="A220">
        <v>1</v>
      </c>
      <c r="B220" s="24">
        <f>Inputs!$B$57</f>
        <v>0</v>
      </c>
      <c r="C220" s="58">
        <f>Inputs!$B$20</f>
        <v>0.09</v>
      </c>
      <c r="D220" s="58">
        <f>Inputs!$C$20</f>
        <v>0</v>
      </c>
      <c r="E220">
        <f>E222/3</f>
        <v>0.33333333333333331</v>
      </c>
      <c r="F220" s="52">
        <f>((NPV_New!$D$18*D220)*C220)*(B220)*E220</f>
        <v>0</v>
      </c>
      <c r="G220" s="60">
        <f>((NPV_New!$D$18*E220)*D220)*(C220)</f>
        <v>0</v>
      </c>
      <c r="H220">
        <f t="shared" si="53"/>
        <v>0</v>
      </c>
    </row>
    <row r="221" spans="1:8">
      <c r="A221">
        <v>2</v>
      </c>
      <c r="B221" s="24">
        <f>Inputs!$B$57</f>
        <v>0</v>
      </c>
      <c r="C221" s="58">
        <f>Inputs!$B$20</f>
        <v>0.09</v>
      </c>
      <c r="D221" s="58">
        <f>Inputs!$C$20</f>
        <v>0</v>
      </c>
      <c r="E221">
        <f>E222*(2/3)</f>
        <v>0.66666666666666663</v>
      </c>
      <c r="F221" s="52">
        <f>((NPV_New!$D$18*D221)*C221)*(B221)*E221</f>
        <v>0</v>
      </c>
      <c r="G221" s="60">
        <f>((NPV_New!$D$18*E221)*D221)*(C221)</f>
        <v>0</v>
      </c>
      <c r="H221">
        <f t="shared" si="53"/>
        <v>0</v>
      </c>
    </row>
    <row r="222" spans="1:8">
      <c r="A222">
        <v>3</v>
      </c>
      <c r="B222" s="24">
        <f>Inputs!$B$57</f>
        <v>0</v>
      </c>
      <c r="C222" s="58">
        <f>Inputs!$B$20</f>
        <v>0.09</v>
      </c>
      <c r="D222" s="58">
        <f>Inputs!$C$20</f>
        <v>0</v>
      </c>
      <c r="E222">
        <v>1</v>
      </c>
      <c r="F222" s="52">
        <f>((NPV_New!$D$18*D222)*C222)*(B222)*E222</f>
        <v>0</v>
      </c>
      <c r="G222" s="60">
        <f>((NPV_New!$D$18*E222)*D222)*(C222)</f>
        <v>0</v>
      </c>
      <c r="H222">
        <f t="shared" si="53"/>
        <v>0</v>
      </c>
    </row>
    <row r="223" spans="1:8">
      <c r="A223">
        <v>4</v>
      </c>
      <c r="B223" s="24">
        <f>Inputs!$B$57</f>
        <v>0</v>
      </c>
      <c r="C223" s="58">
        <f>Inputs!$B$20</f>
        <v>0.09</v>
      </c>
      <c r="D223" s="58">
        <f>Inputs!$C$20</f>
        <v>0</v>
      </c>
      <c r="E223">
        <v>1</v>
      </c>
      <c r="F223" s="52">
        <f>((NPV_New!$D$18*D223)*C223)*(B223)*E223</f>
        <v>0</v>
      </c>
      <c r="G223" s="60">
        <f>((NPV_New!$D$18*E223)*D223)*(C223)</f>
        <v>0</v>
      </c>
      <c r="H223">
        <f t="shared" si="53"/>
        <v>0</v>
      </c>
    </row>
    <row r="224" spans="1:8">
      <c r="A224">
        <v>5</v>
      </c>
      <c r="B224" s="24">
        <f>Inputs!$B$57</f>
        <v>0</v>
      </c>
      <c r="C224" s="58">
        <f>Inputs!$B$20</f>
        <v>0.09</v>
      </c>
      <c r="D224" s="58">
        <f>Inputs!$C$20</f>
        <v>0</v>
      </c>
      <c r="E224">
        <v>1</v>
      </c>
      <c r="F224" s="52">
        <f>((NPV_New!$D$18*D224)*C224)*(B224)*E224</f>
        <v>0</v>
      </c>
      <c r="G224" s="60">
        <f>((NPV_New!$D$18*E224)*D224)*(C224)</f>
        <v>0</v>
      </c>
      <c r="H224">
        <f t="shared" si="53"/>
        <v>0</v>
      </c>
    </row>
    <row r="225" spans="1:8">
      <c r="A225">
        <v>6</v>
      </c>
      <c r="B225" s="24">
        <f>Inputs!$B$57</f>
        <v>0</v>
      </c>
      <c r="C225" s="58">
        <f>Inputs!$B$20</f>
        <v>0.09</v>
      </c>
      <c r="D225" s="58">
        <f>Inputs!$C$20</f>
        <v>0</v>
      </c>
      <c r="E225">
        <v>1</v>
      </c>
      <c r="F225" s="52">
        <f>((NPV_New!$D$18*D225)*C225)*(B225)*E225</f>
        <v>0</v>
      </c>
      <c r="G225" s="60">
        <f>((NPV_New!$D$18*E225)*D225)*(C225)</f>
        <v>0</v>
      </c>
      <c r="H225">
        <f t="shared" si="53"/>
        <v>0</v>
      </c>
    </row>
    <row r="226" spans="1:8">
      <c r="A226">
        <v>7</v>
      </c>
      <c r="B226" s="24">
        <f>Inputs!$B$57</f>
        <v>0</v>
      </c>
      <c r="C226" s="58">
        <f>Inputs!$B$20</f>
        <v>0.09</v>
      </c>
      <c r="D226" s="58">
        <f>Inputs!$C$20</f>
        <v>0</v>
      </c>
      <c r="E226">
        <v>1</v>
      </c>
      <c r="F226" s="52">
        <f>((NPV_New!$D$18*D226)*C226)*(B226)*E226</f>
        <v>0</v>
      </c>
      <c r="G226" s="60">
        <f>((NPV_New!$D$18*E226)*D226)*(C226)</f>
        <v>0</v>
      </c>
      <c r="H226">
        <f t="shared" si="53"/>
        <v>0</v>
      </c>
    </row>
    <row r="227" spans="1:8">
      <c r="A227">
        <v>8</v>
      </c>
      <c r="B227" s="24">
        <f>Inputs!$B$57</f>
        <v>0</v>
      </c>
      <c r="C227" s="58">
        <f>Inputs!$B$20</f>
        <v>0.09</v>
      </c>
      <c r="D227" s="58">
        <f>Inputs!$C$20</f>
        <v>0</v>
      </c>
      <c r="E227">
        <v>1</v>
      </c>
      <c r="F227" s="52">
        <f>((NPV_New!$D$18*D227)*C227)*(B227)*E227</f>
        <v>0</v>
      </c>
      <c r="G227" s="60">
        <f>((NPV_New!$D$18*E227)*D227)*(C227)</f>
        <v>0</v>
      </c>
      <c r="H227">
        <f t="shared" si="53"/>
        <v>0</v>
      </c>
    </row>
    <row r="228" spans="1:8">
      <c r="A228">
        <v>9</v>
      </c>
      <c r="B228" s="24">
        <f>Inputs!$B$57</f>
        <v>0</v>
      </c>
      <c r="C228" s="58">
        <f>Inputs!$B$20</f>
        <v>0.09</v>
      </c>
      <c r="D228" s="58">
        <f>Inputs!$C$20</f>
        <v>0</v>
      </c>
      <c r="E228">
        <v>1</v>
      </c>
      <c r="F228" s="52">
        <f>((NPV_New!$D$18*D228)*C228)*(B228)*E228</f>
        <v>0</v>
      </c>
      <c r="G228" s="60">
        <f>((NPV_New!$D$18*E228)*D228)*(C228)</f>
        <v>0</v>
      </c>
      <c r="H228">
        <f t="shared" si="53"/>
        <v>0</v>
      </c>
    </row>
    <row r="229" spans="1:8">
      <c r="A229">
        <v>10</v>
      </c>
      <c r="B229" s="24">
        <f>Inputs!$B$57</f>
        <v>0</v>
      </c>
      <c r="C229" s="58">
        <f>Inputs!$B$20</f>
        <v>0.09</v>
      </c>
      <c r="D229" s="58">
        <f>Inputs!$C$20</f>
        <v>0</v>
      </c>
      <c r="E229">
        <v>1</v>
      </c>
      <c r="F229" s="52">
        <f>((NPV_New!$D$18*D229)*C229)*(B229)*E229</f>
        <v>0</v>
      </c>
      <c r="G229" s="60">
        <f>((NPV_New!$D$18*E229)*D229)*(C229)</f>
        <v>0</v>
      </c>
      <c r="H229">
        <f t="shared" si="53"/>
        <v>0</v>
      </c>
    </row>
    <row r="230" spans="1:8">
      <c r="A230">
        <v>11</v>
      </c>
      <c r="B230" s="24">
        <f>Inputs!$B$57</f>
        <v>0</v>
      </c>
      <c r="C230" s="58">
        <f>Inputs!$B$20</f>
        <v>0.09</v>
      </c>
      <c r="D230" s="58">
        <f>Inputs!$C$20</f>
        <v>0</v>
      </c>
      <c r="E230">
        <v>1</v>
      </c>
      <c r="F230" s="52">
        <f>((NPV_New!$D$18*D230)*C230)*(B230)*E230</f>
        <v>0</v>
      </c>
      <c r="G230" s="60">
        <f>((NPV_New!$D$18*E230)*D230)*(C230)</f>
        <v>0</v>
      </c>
      <c r="H230">
        <f t="shared" si="53"/>
        <v>0</v>
      </c>
    </row>
    <row r="231" spans="1:8">
      <c r="A231">
        <v>12</v>
      </c>
      <c r="B231" s="24">
        <f>Inputs!$B$57</f>
        <v>0</v>
      </c>
      <c r="C231" s="58">
        <f>Inputs!$B$20</f>
        <v>0.09</v>
      </c>
      <c r="D231" s="58">
        <f>Inputs!$C$20</f>
        <v>0</v>
      </c>
      <c r="E231">
        <v>1</v>
      </c>
      <c r="F231" s="52">
        <f>((NPV_New!$D$18*D231)*C231)*(B231)*E231</f>
        <v>0</v>
      </c>
      <c r="G231" s="60">
        <f>((NPV_New!$D$18*E231)*D231)*(C231)</f>
        <v>0</v>
      </c>
      <c r="H231">
        <f t="shared" si="53"/>
        <v>0</v>
      </c>
    </row>
    <row r="232" spans="1:8">
      <c r="A232">
        <v>13</v>
      </c>
      <c r="B232" s="24">
        <f>Inputs!$B$57</f>
        <v>0</v>
      </c>
      <c r="C232" s="58">
        <f>Inputs!$B$20</f>
        <v>0.09</v>
      </c>
      <c r="D232" s="58">
        <f>Inputs!$C$20</f>
        <v>0</v>
      </c>
      <c r="E232">
        <v>1</v>
      </c>
      <c r="F232" s="52">
        <f>((NPV_New!$D$18*D232)*C232)*(B232)*E232</f>
        <v>0</v>
      </c>
      <c r="G232" s="60">
        <f>((NPV_New!$D$18*E232)*D232)*(C232)</f>
        <v>0</v>
      </c>
      <c r="H232">
        <f t="shared" si="53"/>
        <v>0</v>
      </c>
    </row>
    <row r="233" spans="1:8">
      <c r="A233">
        <v>14</v>
      </c>
      <c r="B233" s="24">
        <f>Inputs!$B$57</f>
        <v>0</v>
      </c>
      <c r="C233" s="58">
        <f>Inputs!$B$20</f>
        <v>0.09</v>
      </c>
      <c r="D233" s="58">
        <f>Inputs!$C$20</f>
        <v>0</v>
      </c>
      <c r="E233">
        <v>1</v>
      </c>
      <c r="F233" s="52">
        <f>((NPV_New!$D$18*D233)*C233)*(B233)*E233</f>
        <v>0</v>
      </c>
      <c r="G233" s="60">
        <f>((NPV_New!$D$18*E233)*D233)*(C233)</f>
        <v>0</v>
      </c>
      <c r="H233">
        <f t="shared" si="53"/>
        <v>0</v>
      </c>
    </row>
    <row r="234" spans="1:8">
      <c r="A234">
        <v>15</v>
      </c>
      <c r="B234" s="24">
        <f>Inputs!$B$57</f>
        <v>0</v>
      </c>
      <c r="C234" s="58">
        <f>Inputs!$B$20</f>
        <v>0.09</v>
      </c>
      <c r="D234" s="58">
        <f>Inputs!$C$20</f>
        <v>0</v>
      </c>
      <c r="E234">
        <v>1</v>
      </c>
      <c r="F234" s="52">
        <f>((NPV_New!$D$18*D234)*C234)*(B234)*E234</f>
        <v>0</v>
      </c>
      <c r="G234" s="60">
        <f>((NPV_New!$D$18*E234)*D234)*(C234)</f>
        <v>0</v>
      </c>
      <c r="H234">
        <f t="shared" si="53"/>
        <v>0</v>
      </c>
    </row>
    <row r="235" spans="1:8">
      <c r="A235">
        <v>16</v>
      </c>
      <c r="B235" s="24">
        <f>Inputs!$B$57</f>
        <v>0</v>
      </c>
      <c r="C235" s="58">
        <f>Inputs!$B$20</f>
        <v>0.09</v>
      </c>
      <c r="D235" s="58">
        <f>Inputs!$C$20</f>
        <v>0</v>
      </c>
      <c r="E235">
        <v>1</v>
      </c>
      <c r="F235" s="52">
        <f>((NPV_New!$D$18*D235)*C235)*(B235)*E235</f>
        <v>0</v>
      </c>
      <c r="G235" s="60">
        <f>((NPV_New!$D$18*E235)*D235)*(C235)</f>
        <v>0</v>
      </c>
      <c r="H235">
        <f t="shared" si="53"/>
        <v>0</v>
      </c>
    </row>
    <row r="236" spans="1:8">
      <c r="A236">
        <v>17</v>
      </c>
      <c r="B236" s="24">
        <f>Inputs!$B$57</f>
        <v>0</v>
      </c>
      <c r="C236" s="58">
        <f>Inputs!$B$20</f>
        <v>0.09</v>
      </c>
      <c r="D236" s="58">
        <f>Inputs!$C$20</f>
        <v>0</v>
      </c>
      <c r="E236">
        <v>1</v>
      </c>
      <c r="F236" s="52">
        <f>((NPV_New!$D$18*D236)*C236)*(B236)*E236</f>
        <v>0</v>
      </c>
      <c r="G236" s="60">
        <f>((NPV_New!$D$18*E236)*D236)*(C236)</f>
        <v>0</v>
      </c>
      <c r="H236">
        <f t="shared" si="53"/>
        <v>0</v>
      </c>
    </row>
    <row r="237" spans="1:8">
      <c r="A237">
        <v>18</v>
      </c>
      <c r="B237" s="24">
        <f>Inputs!$B$57</f>
        <v>0</v>
      </c>
      <c r="C237" s="58">
        <f>Inputs!$B$20</f>
        <v>0.09</v>
      </c>
      <c r="D237" s="58">
        <f>Inputs!$C$20</f>
        <v>0</v>
      </c>
      <c r="E237">
        <v>1</v>
      </c>
      <c r="F237" s="52">
        <f>((NPV_New!$D$18*D237)*C237)*(B237)*E237</f>
        <v>0</v>
      </c>
      <c r="G237" s="60">
        <f>((NPV_New!$D$18*E237)*D237)*(C237)</f>
        <v>0</v>
      </c>
      <c r="H237">
        <f t="shared" si="53"/>
        <v>0</v>
      </c>
    </row>
    <row r="238" spans="1:8">
      <c r="A238">
        <v>19</v>
      </c>
      <c r="B238" s="24">
        <f>Inputs!$B$57</f>
        <v>0</v>
      </c>
      <c r="C238" s="58">
        <f>Inputs!$B$20</f>
        <v>0.09</v>
      </c>
      <c r="D238" s="58">
        <f>Inputs!$C$20</f>
        <v>0</v>
      </c>
      <c r="E238">
        <v>1</v>
      </c>
      <c r="F238" s="52">
        <f>((NPV_New!$D$18*D238)*C238)*(B238)*E238</f>
        <v>0</v>
      </c>
      <c r="G238" s="60">
        <f>((NPV_New!$D$18*E238)*D238)*(C238)</f>
        <v>0</v>
      </c>
      <c r="H238">
        <f t="shared" si="53"/>
        <v>0</v>
      </c>
    </row>
    <row r="239" spans="1:8">
      <c r="A239">
        <v>20</v>
      </c>
      <c r="B239" s="24">
        <f>Inputs!$B$57</f>
        <v>0</v>
      </c>
      <c r="C239" s="58">
        <f>Inputs!$B$20</f>
        <v>0.09</v>
      </c>
      <c r="D239" s="58">
        <f>Inputs!$C$20</f>
        <v>0</v>
      </c>
      <c r="E239">
        <v>1</v>
      </c>
      <c r="F239" s="52">
        <f>((NPV_New!$D$18*D239)*C239)*(B239)*E239</f>
        <v>0</v>
      </c>
      <c r="G239" s="60">
        <f>((NPV_New!$D$18*E239)*D239)*(C239)</f>
        <v>0</v>
      </c>
      <c r="H239">
        <f t="shared" si="53"/>
        <v>0</v>
      </c>
    </row>
    <row r="240" spans="1:8">
      <c r="G240" s="60"/>
    </row>
    <row r="241" spans="1:8">
      <c r="A241" s="5"/>
      <c r="B241" s="5"/>
      <c r="C241" s="5"/>
      <c r="D241" s="5"/>
      <c r="E241" s="5"/>
      <c r="F241" s="5"/>
      <c r="G241" s="60"/>
    </row>
    <row r="242" spans="1:8">
      <c r="A242" s="5" t="s">
        <v>61</v>
      </c>
      <c r="B242" s="5" t="s">
        <v>571</v>
      </c>
      <c r="C242" s="5" t="s">
        <v>572</v>
      </c>
      <c r="D242" s="5" t="s">
        <v>573</v>
      </c>
      <c r="E242" s="5" t="s">
        <v>574</v>
      </c>
      <c r="F242" s="5" t="s">
        <v>575</v>
      </c>
      <c r="G242" s="5" t="s">
        <v>576</v>
      </c>
      <c r="H242" s="5" t="s">
        <v>577</v>
      </c>
    </row>
    <row r="243" spans="1:8">
      <c r="A243">
        <v>0</v>
      </c>
      <c r="B243" s="24">
        <f>Inputs!$B$58</f>
        <v>0</v>
      </c>
      <c r="C243" s="58">
        <f>Inputs!$B$21</f>
        <v>0.12</v>
      </c>
      <c r="D243" s="58">
        <f>Inputs!$C$21</f>
        <v>0</v>
      </c>
      <c r="E243">
        <v>0</v>
      </c>
      <c r="F243" s="52">
        <f>((NPV_New!$D$18*D243)*C243)*(B243)*E243</f>
        <v>0</v>
      </c>
      <c r="G243" s="60">
        <f>((NPV_New!$D$18*E243)*D243)*(C243)</f>
        <v>0</v>
      </c>
      <c r="H243">
        <f t="shared" ref="H243:H263" si="54">G243/100</f>
        <v>0</v>
      </c>
    </row>
    <row r="244" spans="1:8">
      <c r="A244">
        <v>1</v>
      </c>
      <c r="B244" s="24">
        <f>Inputs!$B$58</f>
        <v>0</v>
      </c>
      <c r="C244" s="58">
        <f>Inputs!$B$21</f>
        <v>0.12</v>
      </c>
      <c r="D244" s="58">
        <f>Inputs!$C$21</f>
        <v>0</v>
      </c>
      <c r="E244">
        <f>E246/3</f>
        <v>0.33333333333333331</v>
      </c>
      <c r="F244" s="52">
        <f>((NPV_New!$D$18*D244)*C244)*(B244)*E244</f>
        <v>0</v>
      </c>
      <c r="G244" s="60">
        <f>((NPV_New!$D$18*E244)*D244)*(C244)</f>
        <v>0</v>
      </c>
      <c r="H244">
        <f t="shared" si="54"/>
        <v>0</v>
      </c>
    </row>
    <row r="245" spans="1:8">
      <c r="A245">
        <v>2</v>
      </c>
      <c r="B245" s="24">
        <f>Inputs!$B$58</f>
        <v>0</v>
      </c>
      <c r="C245" s="58">
        <f>Inputs!$B$21</f>
        <v>0.12</v>
      </c>
      <c r="D245" s="58">
        <f>Inputs!$C$21</f>
        <v>0</v>
      </c>
      <c r="E245">
        <f>E246*(2/3)</f>
        <v>0.66666666666666663</v>
      </c>
      <c r="F245" s="52">
        <f>((NPV_New!$D$18*D245)*C245)*(B245)*E245</f>
        <v>0</v>
      </c>
      <c r="G245" s="60">
        <f>((NPV_New!$D$18*E245)*D245)*(C245)</f>
        <v>0</v>
      </c>
      <c r="H245">
        <f t="shared" si="54"/>
        <v>0</v>
      </c>
    </row>
    <row r="246" spans="1:8">
      <c r="A246">
        <v>3</v>
      </c>
      <c r="B246" s="24">
        <f>Inputs!$B$58</f>
        <v>0</v>
      </c>
      <c r="C246" s="58">
        <f>Inputs!$B$21</f>
        <v>0.12</v>
      </c>
      <c r="D246" s="58">
        <f>Inputs!$C$21</f>
        <v>0</v>
      </c>
      <c r="E246">
        <v>1</v>
      </c>
      <c r="F246" s="52">
        <f>((NPV_New!$D$18*D246)*C246)*(B246)*E246</f>
        <v>0</v>
      </c>
      <c r="G246" s="60">
        <f>((NPV_New!$D$18*E246)*D246)*(C246)</f>
        <v>0</v>
      </c>
      <c r="H246">
        <f t="shared" si="54"/>
        <v>0</v>
      </c>
    </row>
    <row r="247" spans="1:8">
      <c r="A247">
        <v>4</v>
      </c>
      <c r="B247" s="24">
        <f>Inputs!$B$58</f>
        <v>0</v>
      </c>
      <c r="C247" s="58">
        <f>Inputs!$B$21</f>
        <v>0.12</v>
      </c>
      <c r="D247" s="58">
        <f>Inputs!$C$21</f>
        <v>0</v>
      </c>
      <c r="E247">
        <v>1</v>
      </c>
      <c r="F247" s="52">
        <f>((NPV_New!$D$18*D247)*C247)*(B247)*E247</f>
        <v>0</v>
      </c>
      <c r="G247" s="60">
        <f>((NPV_New!$D$18*E247)*D247)*(C247)</f>
        <v>0</v>
      </c>
      <c r="H247">
        <f t="shared" si="54"/>
        <v>0</v>
      </c>
    </row>
    <row r="248" spans="1:8">
      <c r="A248">
        <v>5</v>
      </c>
      <c r="B248" s="24">
        <f>Inputs!$B$58</f>
        <v>0</v>
      </c>
      <c r="C248" s="58">
        <f>Inputs!$B$21</f>
        <v>0.12</v>
      </c>
      <c r="D248" s="58">
        <f>Inputs!$C$21</f>
        <v>0</v>
      </c>
      <c r="E248">
        <v>1</v>
      </c>
      <c r="F248" s="52">
        <f>((NPV_New!$D$18*D248)*C248)*(B248)*E248</f>
        <v>0</v>
      </c>
      <c r="G248" s="60">
        <f>((NPV_New!$D$18*E248)*D248)*(C248)</f>
        <v>0</v>
      </c>
      <c r="H248">
        <f t="shared" si="54"/>
        <v>0</v>
      </c>
    </row>
    <row r="249" spans="1:8">
      <c r="A249">
        <v>6</v>
      </c>
      <c r="B249" s="24">
        <f>Inputs!$B$58</f>
        <v>0</v>
      </c>
      <c r="C249" s="58">
        <f>Inputs!$B$21</f>
        <v>0.12</v>
      </c>
      <c r="D249" s="58">
        <f>Inputs!$C$21</f>
        <v>0</v>
      </c>
      <c r="E249">
        <v>1</v>
      </c>
      <c r="F249" s="52">
        <f>((NPV_New!$D$18*D249)*C249)*(B249)*E249</f>
        <v>0</v>
      </c>
      <c r="G249" s="60">
        <f>((NPV_New!$D$18*E249)*D249)*(C249)</f>
        <v>0</v>
      </c>
      <c r="H249">
        <f t="shared" si="54"/>
        <v>0</v>
      </c>
    </row>
    <row r="250" spans="1:8">
      <c r="A250">
        <v>7</v>
      </c>
      <c r="B250" s="24">
        <f>Inputs!$B$58</f>
        <v>0</v>
      </c>
      <c r="C250" s="58">
        <f>Inputs!$B$21</f>
        <v>0.12</v>
      </c>
      <c r="D250" s="58">
        <f>Inputs!$C$21</f>
        <v>0</v>
      </c>
      <c r="E250">
        <v>1</v>
      </c>
      <c r="F250" s="52">
        <f>((NPV_New!$D$18*D250)*C250)*(B250)*E250</f>
        <v>0</v>
      </c>
      <c r="G250" s="60">
        <f>((NPV_New!$D$18*E250)*D250)*(C250)</f>
        <v>0</v>
      </c>
      <c r="H250">
        <f t="shared" si="54"/>
        <v>0</v>
      </c>
    </row>
    <row r="251" spans="1:8">
      <c r="A251">
        <v>8</v>
      </c>
      <c r="B251" s="24">
        <f>Inputs!$B$58</f>
        <v>0</v>
      </c>
      <c r="C251" s="58">
        <f>Inputs!$B$21</f>
        <v>0.12</v>
      </c>
      <c r="D251" s="58">
        <f>Inputs!$C$21</f>
        <v>0</v>
      </c>
      <c r="E251">
        <v>1</v>
      </c>
      <c r="F251" s="52">
        <f>((NPV_New!$D$18*D251)*C251)*(B251)*E251</f>
        <v>0</v>
      </c>
      <c r="G251" s="60">
        <f>((NPV_New!$D$18*E251)*D251)*(C251)</f>
        <v>0</v>
      </c>
      <c r="H251">
        <f t="shared" si="54"/>
        <v>0</v>
      </c>
    </row>
    <row r="252" spans="1:8">
      <c r="A252">
        <v>9</v>
      </c>
      <c r="B252" s="24">
        <f>Inputs!$B$58</f>
        <v>0</v>
      </c>
      <c r="C252" s="58">
        <f>Inputs!$B$21</f>
        <v>0.12</v>
      </c>
      <c r="D252" s="58">
        <f>Inputs!$C$21</f>
        <v>0</v>
      </c>
      <c r="E252">
        <v>1</v>
      </c>
      <c r="F252" s="52">
        <f>((NPV_New!$D$18*D252)*C252)*(B252)*E252</f>
        <v>0</v>
      </c>
      <c r="G252" s="60">
        <f>((NPV_New!$D$18*E252)*D252)*(C252)</f>
        <v>0</v>
      </c>
      <c r="H252">
        <f t="shared" si="54"/>
        <v>0</v>
      </c>
    </row>
    <row r="253" spans="1:8">
      <c r="A253">
        <v>10</v>
      </c>
      <c r="B253" s="24">
        <f>Inputs!$B$58</f>
        <v>0</v>
      </c>
      <c r="C253" s="58">
        <f>Inputs!$B$21</f>
        <v>0.12</v>
      </c>
      <c r="D253" s="58">
        <f>Inputs!$C$21</f>
        <v>0</v>
      </c>
      <c r="E253">
        <v>1</v>
      </c>
      <c r="F253" s="52">
        <f>((NPV_New!$D$18*D253)*C253)*(B253)*E253</f>
        <v>0</v>
      </c>
      <c r="G253" s="60">
        <f>((NPV_New!$D$18*E253)*D253)*(C253)</f>
        <v>0</v>
      </c>
      <c r="H253">
        <f t="shared" si="54"/>
        <v>0</v>
      </c>
    </row>
    <row r="254" spans="1:8">
      <c r="A254">
        <v>11</v>
      </c>
      <c r="B254" s="24">
        <f>Inputs!$B$58</f>
        <v>0</v>
      </c>
      <c r="C254" s="58">
        <f>Inputs!$B$21</f>
        <v>0.12</v>
      </c>
      <c r="D254" s="58">
        <f>Inputs!$C$21</f>
        <v>0</v>
      </c>
      <c r="E254">
        <v>1</v>
      </c>
      <c r="F254" s="52">
        <f>((NPV_New!$D$18*D254)*C254)*(B254)*E254</f>
        <v>0</v>
      </c>
      <c r="G254" s="60">
        <f>((NPV_New!$D$18*E254)*D254)*(C254)</f>
        <v>0</v>
      </c>
      <c r="H254">
        <f t="shared" si="54"/>
        <v>0</v>
      </c>
    </row>
    <row r="255" spans="1:8">
      <c r="A255">
        <v>12</v>
      </c>
      <c r="B255" s="24">
        <f>Inputs!$B$58</f>
        <v>0</v>
      </c>
      <c r="C255" s="58">
        <f>Inputs!$B$21</f>
        <v>0.12</v>
      </c>
      <c r="D255" s="58">
        <f>Inputs!$C$21</f>
        <v>0</v>
      </c>
      <c r="E255">
        <v>1</v>
      </c>
      <c r="F255" s="52">
        <f>((NPV_New!$D$18*D255)*C255)*(B255)*E255</f>
        <v>0</v>
      </c>
      <c r="G255" s="60">
        <f>((NPV_New!$D$18*E255)*D255)*(C255)</f>
        <v>0</v>
      </c>
      <c r="H255">
        <f t="shared" si="54"/>
        <v>0</v>
      </c>
    </row>
    <row r="256" spans="1:8">
      <c r="A256">
        <v>13</v>
      </c>
      <c r="B256" s="24">
        <f>Inputs!$B$58</f>
        <v>0</v>
      </c>
      <c r="C256" s="58">
        <f>Inputs!$B$21</f>
        <v>0.12</v>
      </c>
      <c r="D256" s="58">
        <f>Inputs!$C$21</f>
        <v>0</v>
      </c>
      <c r="E256">
        <v>1</v>
      </c>
      <c r="F256" s="52">
        <f>((NPV_New!$D$18*D256)*C256)*(B256)*E256</f>
        <v>0</v>
      </c>
      <c r="G256" s="60">
        <f>((NPV_New!$D$18*E256)*D256)*(C256)</f>
        <v>0</v>
      </c>
      <c r="H256">
        <f t="shared" si="54"/>
        <v>0</v>
      </c>
    </row>
    <row r="257" spans="1:8">
      <c r="A257">
        <v>14</v>
      </c>
      <c r="B257" s="24">
        <f>Inputs!$B$58</f>
        <v>0</v>
      </c>
      <c r="C257" s="58">
        <f>Inputs!$B$21</f>
        <v>0.12</v>
      </c>
      <c r="D257" s="58">
        <f>Inputs!$C$21</f>
        <v>0</v>
      </c>
      <c r="E257">
        <v>1</v>
      </c>
      <c r="F257" s="52">
        <f>((NPV_New!$D$18*D257)*C257)*(B257)*E257</f>
        <v>0</v>
      </c>
      <c r="G257" s="60">
        <f>((NPV_New!$D$18*E257)*D257)*(C257)</f>
        <v>0</v>
      </c>
      <c r="H257">
        <f t="shared" si="54"/>
        <v>0</v>
      </c>
    </row>
    <row r="258" spans="1:8">
      <c r="A258">
        <v>15</v>
      </c>
      <c r="B258" s="24">
        <f>Inputs!$B$58</f>
        <v>0</v>
      </c>
      <c r="C258" s="58">
        <f>Inputs!$B$21</f>
        <v>0.12</v>
      </c>
      <c r="D258" s="58">
        <f>Inputs!$C$21</f>
        <v>0</v>
      </c>
      <c r="E258">
        <v>1</v>
      </c>
      <c r="F258" s="52">
        <f>((NPV_New!$D$18*D258)*C258)*(B258)*E258</f>
        <v>0</v>
      </c>
      <c r="G258" s="60">
        <f>((NPV_New!$D$18*E258)*D258)*(C258)</f>
        <v>0</v>
      </c>
      <c r="H258">
        <f t="shared" si="54"/>
        <v>0</v>
      </c>
    </row>
    <row r="259" spans="1:8">
      <c r="A259">
        <v>16</v>
      </c>
      <c r="B259" s="24">
        <f>Inputs!$B$58</f>
        <v>0</v>
      </c>
      <c r="C259" s="58">
        <f>Inputs!$B$21</f>
        <v>0.12</v>
      </c>
      <c r="D259" s="58">
        <f>Inputs!$C$21</f>
        <v>0</v>
      </c>
      <c r="E259">
        <v>1</v>
      </c>
      <c r="F259" s="52">
        <f>((NPV_New!$D$18*D259)*C259)*(B259)*E259</f>
        <v>0</v>
      </c>
      <c r="G259" s="60">
        <f>((NPV_New!$D$18*E259)*D259)*(C259)</f>
        <v>0</v>
      </c>
      <c r="H259">
        <f t="shared" si="54"/>
        <v>0</v>
      </c>
    </row>
    <row r="260" spans="1:8">
      <c r="A260">
        <v>17</v>
      </c>
      <c r="B260" s="24">
        <f>Inputs!$B$58</f>
        <v>0</v>
      </c>
      <c r="C260" s="58">
        <f>Inputs!$B$21</f>
        <v>0.12</v>
      </c>
      <c r="D260" s="58">
        <f>Inputs!$C$21</f>
        <v>0</v>
      </c>
      <c r="E260">
        <v>1</v>
      </c>
      <c r="F260" s="52">
        <f>((NPV_New!$D$18*D260)*C260)*(B260)*E260</f>
        <v>0</v>
      </c>
      <c r="G260" s="60">
        <f>((NPV_New!$D$18*E260)*D260)*(C260)</f>
        <v>0</v>
      </c>
      <c r="H260">
        <f t="shared" si="54"/>
        <v>0</v>
      </c>
    </row>
    <row r="261" spans="1:8">
      <c r="A261">
        <v>18</v>
      </c>
      <c r="B261" s="24">
        <f>Inputs!$B$58</f>
        <v>0</v>
      </c>
      <c r="C261" s="58">
        <f>Inputs!$B$21</f>
        <v>0.12</v>
      </c>
      <c r="D261" s="58">
        <f>Inputs!$C$21</f>
        <v>0</v>
      </c>
      <c r="E261">
        <v>1</v>
      </c>
      <c r="F261" s="52">
        <f>((NPV_New!$D$18*D261)*C261)*(B261)*E261</f>
        <v>0</v>
      </c>
      <c r="G261" s="60">
        <f>((NPV_New!$D$18*E261)*D261)*(C261)</f>
        <v>0</v>
      </c>
      <c r="H261">
        <f t="shared" si="54"/>
        <v>0</v>
      </c>
    </row>
    <row r="262" spans="1:8">
      <c r="A262">
        <v>19</v>
      </c>
      <c r="B262" s="24">
        <f>Inputs!$B$58</f>
        <v>0</v>
      </c>
      <c r="C262" s="58">
        <f>Inputs!$B$21</f>
        <v>0.12</v>
      </c>
      <c r="D262" s="58">
        <f>Inputs!$C$21</f>
        <v>0</v>
      </c>
      <c r="E262">
        <v>1</v>
      </c>
      <c r="F262" s="52">
        <f>((NPV_New!$D$18*D262)*C262)*(B262)*E262</f>
        <v>0</v>
      </c>
      <c r="G262" s="60">
        <f>((NPV_New!$D$18*E262)*D262)*(C262)</f>
        <v>0</v>
      </c>
      <c r="H262">
        <f t="shared" si="54"/>
        <v>0</v>
      </c>
    </row>
    <row r="263" spans="1:8">
      <c r="A263">
        <v>20</v>
      </c>
      <c r="B263" s="24">
        <f>Inputs!$B$58</f>
        <v>0</v>
      </c>
      <c r="C263" s="58">
        <f>Inputs!$B$21</f>
        <v>0.12</v>
      </c>
      <c r="D263" s="58">
        <f>Inputs!$C$21</f>
        <v>0</v>
      </c>
      <c r="E263">
        <v>1</v>
      </c>
      <c r="F263" s="52">
        <f>((NPV_New!$D$18*D263)*C263)*(B263)*E263</f>
        <v>0</v>
      </c>
      <c r="G263" s="60">
        <f>((NPV_New!$D$18*E263)*D263)*(C263)</f>
        <v>0</v>
      </c>
      <c r="H263">
        <f t="shared" si="54"/>
        <v>0</v>
      </c>
    </row>
    <row r="264" spans="1:8">
      <c r="G264" s="60"/>
    </row>
    <row r="265" spans="1:8">
      <c r="G265" s="60"/>
    </row>
    <row r="266" spans="1:8">
      <c r="A266" s="5" t="s">
        <v>64</v>
      </c>
      <c r="B266" s="5" t="s">
        <v>571</v>
      </c>
      <c r="C266" s="5" t="s">
        <v>572</v>
      </c>
      <c r="D266" s="5" t="s">
        <v>573</v>
      </c>
      <c r="E266" s="5" t="s">
        <v>574</v>
      </c>
      <c r="F266" s="5" t="s">
        <v>575</v>
      </c>
      <c r="G266" s="5" t="s">
        <v>576</v>
      </c>
      <c r="H266" s="5" t="s">
        <v>577</v>
      </c>
    </row>
    <row r="267" spans="1:8">
      <c r="A267">
        <v>0</v>
      </c>
      <c r="B267" s="24">
        <f>Inputs!$B$59</f>
        <v>0</v>
      </c>
      <c r="C267" s="58">
        <f>Inputs!$B$22</f>
        <v>0.2</v>
      </c>
      <c r="D267" s="58">
        <f>Inputs!$C$22</f>
        <v>0</v>
      </c>
      <c r="E267">
        <v>0</v>
      </c>
      <c r="F267" s="52">
        <f>((NPV_New!$D$18*D267)*C267)*(B267)*E267</f>
        <v>0</v>
      </c>
      <c r="G267" s="60">
        <f>((NPV_New!$D$18*E267)*D267)*(C267)</f>
        <v>0</v>
      </c>
      <c r="H267">
        <f t="shared" ref="H267:H287" si="55">G267/100</f>
        <v>0</v>
      </c>
    </row>
    <row r="268" spans="1:8">
      <c r="A268">
        <v>1</v>
      </c>
      <c r="B268" s="24">
        <f>Inputs!$B$59</f>
        <v>0</v>
      </c>
      <c r="C268" s="58">
        <f>Inputs!$B$22</f>
        <v>0.2</v>
      </c>
      <c r="D268" s="58">
        <f>Inputs!$C$22</f>
        <v>0</v>
      </c>
      <c r="E268">
        <f>E270/3</f>
        <v>0.33333333333333331</v>
      </c>
      <c r="F268" s="52">
        <f>((NPV_New!$D$18*D268)*C268)*(B268)*E268</f>
        <v>0</v>
      </c>
      <c r="G268" s="60">
        <f>((NPV_New!$D$18*E268)*D268)*(C268)</f>
        <v>0</v>
      </c>
      <c r="H268">
        <f t="shared" si="55"/>
        <v>0</v>
      </c>
    </row>
    <row r="269" spans="1:8">
      <c r="A269">
        <v>2</v>
      </c>
      <c r="B269" s="24">
        <f>Inputs!$B$59</f>
        <v>0</v>
      </c>
      <c r="C269" s="58">
        <f>Inputs!$B$22</f>
        <v>0.2</v>
      </c>
      <c r="D269" s="58">
        <f>Inputs!$C$22</f>
        <v>0</v>
      </c>
      <c r="E269">
        <f>E270*(2/3)</f>
        <v>0.66666666666666663</v>
      </c>
      <c r="F269" s="52">
        <f>((NPV_New!$D$18*D269)*C269)*(B269)*E269</f>
        <v>0</v>
      </c>
      <c r="G269" s="60">
        <f>((NPV_New!$D$18*E269)*D269)*(C269)</f>
        <v>0</v>
      </c>
      <c r="H269">
        <f t="shared" si="55"/>
        <v>0</v>
      </c>
    </row>
    <row r="270" spans="1:8">
      <c r="A270">
        <v>3</v>
      </c>
      <c r="B270" s="24">
        <f>Inputs!$B$59</f>
        <v>0</v>
      </c>
      <c r="C270" s="58">
        <f>Inputs!$B$22</f>
        <v>0.2</v>
      </c>
      <c r="D270" s="58">
        <f>Inputs!$C$22</f>
        <v>0</v>
      </c>
      <c r="E270">
        <v>1</v>
      </c>
      <c r="F270" s="52">
        <f>((NPV_New!$D$18*D270)*C270)*(B270)*E270</f>
        <v>0</v>
      </c>
      <c r="G270" s="60">
        <f>((NPV_New!$D$18*E270)*D270)*(C270)</f>
        <v>0</v>
      </c>
      <c r="H270">
        <f t="shared" si="55"/>
        <v>0</v>
      </c>
    </row>
    <row r="271" spans="1:8">
      <c r="A271">
        <v>4</v>
      </c>
      <c r="B271" s="24">
        <f>Inputs!$B$59</f>
        <v>0</v>
      </c>
      <c r="C271" s="58">
        <f>Inputs!$B$22</f>
        <v>0.2</v>
      </c>
      <c r="D271" s="58">
        <f>Inputs!$C$22</f>
        <v>0</v>
      </c>
      <c r="E271">
        <v>1</v>
      </c>
      <c r="F271" s="52">
        <f>((NPV_New!$D$18*D271)*C271)*(B271)*E271</f>
        <v>0</v>
      </c>
      <c r="G271" s="60">
        <f>((NPV_New!$D$18*E271)*D271)*(C271)</f>
        <v>0</v>
      </c>
      <c r="H271">
        <f t="shared" si="55"/>
        <v>0</v>
      </c>
    </row>
    <row r="272" spans="1:8">
      <c r="A272">
        <v>5</v>
      </c>
      <c r="B272" s="24">
        <f>Inputs!$B$59</f>
        <v>0</v>
      </c>
      <c r="C272" s="58">
        <f>Inputs!$B$22</f>
        <v>0.2</v>
      </c>
      <c r="D272" s="58">
        <f>Inputs!$C$22</f>
        <v>0</v>
      </c>
      <c r="E272">
        <v>1</v>
      </c>
      <c r="F272" s="52">
        <f>((NPV_New!$D$18*D272)*C272)*(B272)*E272</f>
        <v>0</v>
      </c>
      <c r="G272" s="60">
        <f>((NPV_New!$D$18*E272)*D272)*(C272)</f>
        <v>0</v>
      </c>
      <c r="H272">
        <f t="shared" si="55"/>
        <v>0</v>
      </c>
    </row>
    <row r="273" spans="1:8">
      <c r="A273">
        <v>6</v>
      </c>
      <c r="B273" s="24">
        <f>Inputs!$B$59</f>
        <v>0</v>
      </c>
      <c r="C273" s="58">
        <f>Inputs!$B$22</f>
        <v>0.2</v>
      </c>
      <c r="D273" s="58">
        <f>Inputs!$C$22</f>
        <v>0</v>
      </c>
      <c r="E273">
        <v>1</v>
      </c>
      <c r="F273" s="52">
        <f>((NPV_New!$D$18*D273)*C273)*(B273)*E273</f>
        <v>0</v>
      </c>
      <c r="G273" s="60">
        <f>((NPV_New!$D$18*E273)*D273)*(C273)</f>
        <v>0</v>
      </c>
      <c r="H273">
        <f t="shared" si="55"/>
        <v>0</v>
      </c>
    </row>
    <row r="274" spans="1:8">
      <c r="A274">
        <v>7</v>
      </c>
      <c r="B274" s="24">
        <f>Inputs!$B$59</f>
        <v>0</v>
      </c>
      <c r="C274" s="58">
        <f>Inputs!$B$22</f>
        <v>0.2</v>
      </c>
      <c r="D274" s="58">
        <f>Inputs!$C$22</f>
        <v>0</v>
      </c>
      <c r="E274">
        <v>1</v>
      </c>
      <c r="F274" s="52">
        <f>((NPV_New!$D$18*D274)*C274)*(B274)*E274</f>
        <v>0</v>
      </c>
      <c r="G274" s="60">
        <f>((NPV_New!$D$18*E274)*D274)*(C274)</f>
        <v>0</v>
      </c>
      <c r="H274">
        <f t="shared" si="55"/>
        <v>0</v>
      </c>
    </row>
    <row r="275" spans="1:8">
      <c r="A275">
        <v>8</v>
      </c>
      <c r="B275" s="24">
        <f>Inputs!$B$59</f>
        <v>0</v>
      </c>
      <c r="C275" s="58">
        <f>Inputs!$B$22</f>
        <v>0.2</v>
      </c>
      <c r="D275" s="58">
        <f>Inputs!$C$22</f>
        <v>0</v>
      </c>
      <c r="E275">
        <v>1</v>
      </c>
      <c r="F275" s="52">
        <f>((NPV_New!$D$18*D275)*C275)*(B275)*E275</f>
        <v>0</v>
      </c>
      <c r="G275" s="60">
        <f>((NPV_New!$D$18*E275)*D275)*(C275)</f>
        <v>0</v>
      </c>
      <c r="H275">
        <f t="shared" si="55"/>
        <v>0</v>
      </c>
    </row>
    <row r="276" spans="1:8">
      <c r="A276">
        <v>9</v>
      </c>
      <c r="B276" s="24">
        <f>Inputs!$B$59</f>
        <v>0</v>
      </c>
      <c r="C276" s="58">
        <f>Inputs!$B$22</f>
        <v>0.2</v>
      </c>
      <c r="D276" s="58">
        <f>Inputs!$C$22</f>
        <v>0</v>
      </c>
      <c r="E276">
        <v>1</v>
      </c>
      <c r="F276" s="52">
        <f>((NPV_New!$D$18*D276)*C276)*(B276)*E276</f>
        <v>0</v>
      </c>
      <c r="G276" s="60">
        <f>((NPV_New!$D$18*E276)*D276)*(C276)</f>
        <v>0</v>
      </c>
      <c r="H276">
        <f t="shared" si="55"/>
        <v>0</v>
      </c>
    </row>
    <row r="277" spans="1:8">
      <c r="A277">
        <v>10</v>
      </c>
      <c r="B277" s="24">
        <f>Inputs!$B$59</f>
        <v>0</v>
      </c>
      <c r="C277" s="58">
        <f>Inputs!$B$22</f>
        <v>0.2</v>
      </c>
      <c r="D277" s="58">
        <f>Inputs!$C$22</f>
        <v>0</v>
      </c>
      <c r="E277">
        <v>1</v>
      </c>
      <c r="F277" s="52">
        <f>((NPV_New!$D$18*D277)*C277)*(B277)*E277</f>
        <v>0</v>
      </c>
      <c r="G277" s="60">
        <f>((NPV_New!$D$18*E277)*D277)*(C277)</f>
        <v>0</v>
      </c>
      <c r="H277">
        <f t="shared" si="55"/>
        <v>0</v>
      </c>
    </row>
    <row r="278" spans="1:8">
      <c r="A278">
        <v>11</v>
      </c>
      <c r="B278" s="24">
        <f>Inputs!$B$59</f>
        <v>0</v>
      </c>
      <c r="C278" s="58">
        <f>Inputs!$B$22</f>
        <v>0.2</v>
      </c>
      <c r="D278" s="58">
        <f>Inputs!$C$22</f>
        <v>0</v>
      </c>
      <c r="E278">
        <v>1</v>
      </c>
      <c r="F278" s="52">
        <f>((NPV_New!$D$18*D278)*C278)*(B278)*E278</f>
        <v>0</v>
      </c>
      <c r="G278" s="60">
        <f>((NPV_New!$D$18*E278)*D278)*(C278)</f>
        <v>0</v>
      </c>
      <c r="H278">
        <f t="shared" si="55"/>
        <v>0</v>
      </c>
    </row>
    <row r="279" spans="1:8">
      <c r="A279">
        <v>12</v>
      </c>
      <c r="B279" s="24">
        <f>Inputs!$B$59</f>
        <v>0</v>
      </c>
      <c r="C279" s="58">
        <f>Inputs!$B$22</f>
        <v>0.2</v>
      </c>
      <c r="D279" s="58">
        <f>Inputs!$C$22</f>
        <v>0</v>
      </c>
      <c r="E279">
        <v>1</v>
      </c>
      <c r="F279" s="52">
        <f>((NPV_New!$D$18*D279)*C279)*(B279)*E279</f>
        <v>0</v>
      </c>
      <c r="G279" s="60">
        <f>((NPV_New!$D$18*E279)*D279)*(C279)</f>
        <v>0</v>
      </c>
      <c r="H279">
        <f t="shared" si="55"/>
        <v>0</v>
      </c>
    </row>
    <row r="280" spans="1:8">
      <c r="A280">
        <v>13</v>
      </c>
      <c r="B280" s="24">
        <f>Inputs!$B$59</f>
        <v>0</v>
      </c>
      <c r="C280" s="58">
        <f>Inputs!$B$22</f>
        <v>0.2</v>
      </c>
      <c r="D280" s="58">
        <f>Inputs!$C$22</f>
        <v>0</v>
      </c>
      <c r="E280">
        <v>1</v>
      </c>
      <c r="F280" s="52">
        <f>((NPV_New!$D$18*D280)*C280)*(B280)*E280</f>
        <v>0</v>
      </c>
      <c r="G280" s="60">
        <f>((NPV_New!$D$18*E280)*D280)*(C280)</f>
        <v>0</v>
      </c>
      <c r="H280">
        <f t="shared" si="55"/>
        <v>0</v>
      </c>
    </row>
    <row r="281" spans="1:8">
      <c r="A281">
        <v>14</v>
      </c>
      <c r="B281" s="24">
        <f>Inputs!$B$59</f>
        <v>0</v>
      </c>
      <c r="C281" s="58">
        <f>Inputs!$B$22</f>
        <v>0.2</v>
      </c>
      <c r="D281" s="58">
        <f>Inputs!$C$22</f>
        <v>0</v>
      </c>
      <c r="E281">
        <v>1</v>
      </c>
      <c r="F281" s="52">
        <f>((NPV_New!$D$18*D281)*C281)*(B281)*E281</f>
        <v>0</v>
      </c>
      <c r="G281" s="60">
        <f>((NPV_New!$D$18*E281)*D281)*(C281)</f>
        <v>0</v>
      </c>
      <c r="H281">
        <f t="shared" si="55"/>
        <v>0</v>
      </c>
    </row>
    <row r="282" spans="1:8">
      <c r="A282">
        <v>15</v>
      </c>
      <c r="B282" s="24">
        <f>Inputs!$B$59</f>
        <v>0</v>
      </c>
      <c r="C282" s="58">
        <f>Inputs!$B$22</f>
        <v>0.2</v>
      </c>
      <c r="D282" s="58">
        <f>Inputs!$C$22</f>
        <v>0</v>
      </c>
      <c r="E282">
        <v>1</v>
      </c>
      <c r="F282" s="52">
        <f>((NPV_New!$D$18*D282)*C282)*(B282)*E282</f>
        <v>0</v>
      </c>
      <c r="G282" s="60">
        <f>((NPV_New!$D$18*E282)*D282)*(C282)</f>
        <v>0</v>
      </c>
      <c r="H282">
        <f t="shared" si="55"/>
        <v>0</v>
      </c>
    </row>
    <row r="283" spans="1:8">
      <c r="A283">
        <v>16</v>
      </c>
      <c r="B283" s="24">
        <f>Inputs!$B$59</f>
        <v>0</v>
      </c>
      <c r="C283" s="58">
        <f>Inputs!$B$22</f>
        <v>0.2</v>
      </c>
      <c r="D283" s="58">
        <f>Inputs!$C$22</f>
        <v>0</v>
      </c>
      <c r="E283">
        <v>1</v>
      </c>
      <c r="F283" s="52">
        <f>((NPV_New!$D$18*D283)*C283)*(B283)*E283</f>
        <v>0</v>
      </c>
      <c r="G283" s="60">
        <f>((NPV_New!$D$18*E283)*D283)*(C283)</f>
        <v>0</v>
      </c>
      <c r="H283">
        <f t="shared" si="55"/>
        <v>0</v>
      </c>
    </row>
    <row r="284" spans="1:8">
      <c r="A284">
        <v>17</v>
      </c>
      <c r="B284" s="24">
        <f>Inputs!$B$59</f>
        <v>0</v>
      </c>
      <c r="C284" s="58">
        <f>Inputs!$B$22</f>
        <v>0.2</v>
      </c>
      <c r="D284" s="58">
        <f>Inputs!$C$22</f>
        <v>0</v>
      </c>
      <c r="E284">
        <v>1</v>
      </c>
      <c r="F284" s="52">
        <f>((NPV_New!$D$18*D284)*C284)*(B284)*E284</f>
        <v>0</v>
      </c>
      <c r="G284" s="60">
        <f>((NPV_New!$D$18*E284)*D284)*(C284)</f>
        <v>0</v>
      </c>
      <c r="H284">
        <f t="shared" si="55"/>
        <v>0</v>
      </c>
    </row>
    <row r="285" spans="1:8">
      <c r="A285">
        <v>18</v>
      </c>
      <c r="B285" s="24">
        <f>Inputs!$B$59</f>
        <v>0</v>
      </c>
      <c r="C285" s="58">
        <f>Inputs!$B$22</f>
        <v>0.2</v>
      </c>
      <c r="D285" s="58">
        <f>Inputs!$C$22</f>
        <v>0</v>
      </c>
      <c r="E285">
        <v>1</v>
      </c>
      <c r="F285" s="52">
        <f>((NPV_New!$D$18*D285)*C285)*(B285)*E285</f>
        <v>0</v>
      </c>
      <c r="G285" s="60">
        <f>((NPV_New!$D$18*E285)*D285)*(C285)</f>
        <v>0</v>
      </c>
      <c r="H285">
        <f t="shared" si="55"/>
        <v>0</v>
      </c>
    </row>
    <row r="286" spans="1:8">
      <c r="A286">
        <v>19</v>
      </c>
      <c r="B286" s="24">
        <f>Inputs!$B$59</f>
        <v>0</v>
      </c>
      <c r="C286" s="58">
        <f>Inputs!$B$22</f>
        <v>0.2</v>
      </c>
      <c r="D286" s="58">
        <f>Inputs!$C$22</f>
        <v>0</v>
      </c>
      <c r="E286">
        <v>1</v>
      </c>
      <c r="F286" s="52">
        <f>((NPV_New!$D$18*D286)*C286)*(B286)*E286</f>
        <v>0</v>
      </c>
      <c r="G286" s="60">
        <f>((NPV_New!$D$18*E286)*D286)*(C286)</f>
        <v>0</v>
      </c>
      <c r="H286">
        <f t="shared" si="55"/>
        <v>0</v>
      </c>
    </row>
    <row r="287" spans="1:8">
      <c r="A287">
        <v>20</v>
      </c>
      <c r="B287" s="24">
        <f>Inputs!$B$59</f>
        <v>0</v>
      </c>
      <c r="C287" s="58">
        <f>Inputs!$B$22</f>
        <v>0.2</v>
      </c>
      <c r="D287" s="58">
        <f>Inputs!$C$22</f>
        <v>0</v>
      </c>
      <c r="E287">
        <v>1</v>
      </c>
      <c r="F287" s="52">
        <f>((NPV_New!$D$18*D287)*C287)*(B287)*E287</f>
        <v>0</v>
      </c>
      <c r="G287" s="60">
        <f>((NPV_New!$D$18*E287)*D287)*(C287)</f>
        <v>0</v>
      </c>
      <c r="H287">
        <f t="shared" si="55"/>
        <v>0</v>
      </c>
    </row>
    <row r="288" spans="1:8">
      <c r="G288" s="60"/>
    </row>
    <row r="289" spans="1:8">
      <c r="G289" s="60"/>
    </row>
    <row r="290" spans="1:8">
      <c r="A290" s="5" t="s">
        <v>67</v>
      </c>
      <c r="B290" s="5" t="s">
        <v>571</v>
      </c>
      <c r="C290" s="5" t="s">
        <v>572</v>
      </c>
      <c r="D290" s="5" t="s">
        <v>573</v>
      </c>
      <c r="E290" s="5" t="s">
        <v>574</v>
      </c>
      <c r="F290" s="5" t="s">
        <v>575</v>
      </c>
      <c r="G290" s="5" t="s">
        <v>576</v>
      </c>
      <c r="H290" s="5" t="s">
        <v>577</v>
      </c>
    </row>
    <row r="291" spans="1:8">
      <c r="A291">
        <v>0</v>
      </c>
      <c r="B291" s="24">
        <f>Inputs!$B$60</f>
        <v>0</v>
      </c>
      <c r="C291" s="58">
        <f>Inputs!$B$23</f>
        <v>0</v>
      </c>
      <c r="D291" s="58">
        <f>Inputs!$C$23</f>
        <v>0</v>
      </c>
      <c r="E291">
        <v>0</v>
      </c>
      <c r="F291" s="52">
        <f>((NPV_New!$D$18*D291)*C291)*(B291)*E291</f>
        <v>0</v>
      </c>
      <c r="G291" s="60">
        <f>((NPV_New!$D$18*E291)*D291)*(C291)</f>
        <v>0</v>
      </c>
      <c r="H291">
        <f t="shared" ref="H291:H311" si="56">G291/100</f>
        <v>0</v>
      </c>
    </row>
    <row r="292" spans="1:8">
      <c r="A292">
        <v>1</v>
      </c>
      <c r="B292" s="24">
        <f>Inputs!$B$60</f>
        <v>0</v>
      </c>
      <c r="C292" s="58">
        <f>Inputs!$B$23</f>
        <v>0</v>
      </c>
      <c r="D292" s="58">
        <f>Inputs!$C$23</f>
        <v>0</v>
      </c>
      <c r="E292">
        <f>E294/3</f>
        <v>0.33333333333333331</v>
      </c>
      <c r="F292" s="52">
        <f>((NPV_New!$D$18*D292)*C292)*(B292)*E292</f>
        <v>0</v>
      </c>
      <c r="G292" s="60">
        <f>((NPV_New!$D$18*E292)*D292)*(C292)</f>
        <v>0</v>
      </c>
      <c r="H292">
        <f t="shared" si="56"/>
        <v>0</v>
      </c>
    </row>
    <row r="293" spans="1:8">
      <c r="A293">
        <v>2</v>
      </c>
      <c r="B293" s="24">
        <f>Inputs!$B$60</f>
        <v>0</v>
      </c>
      <c r="C293" s="58">
        <f>Inputs!$B$23</f>
        <v>0</v>
      </c>
      <c r="D293" s="58">
        <f>Inputs!$C$23</f>
        <v>0</v>
      </c>
      <c r="E293">
        <f>E294*(2/3)</f>
        <v>0.66666666666666663</v>
      </c>
      <c r="F293" s="52">
        <f>((NPV_New!$D$18*D293)*C293)*(B293)*E293</f>
        <v>0</v>
      </c>
      <c r="G293" s="60">
        <f>((NPV_New!$D$18*E293)*D293)*(C293)</f>
        <v>0</v>
      </c>
      <c r="H293">
        <f t="shared" si="56"/>
        <v>0</v>
      </c>
    </row>
    <row r="294" spans="1:8">
      <c r="A294">
        <v>3</v>
      </c>
      <c r="B294" s="24">
        <f>Inputs!$B$60</f>
        <v>0</v>
      </c>
      <c r="C294" s="58">
        <f>Inputs!$B$23</f>
        <v>0</v>
      </c>
      <c r="D294" s="58">
        <f>Inputs!$C$23</f>
        <v>0</v>
      </c>
      <c r="E294">
        <v>1</v>
      </c>
      <c r="F294" s="52">
        <f>((NPV_New!$D$18*D294)*C294)*(B294)*E294</f>
        <v>0</v>
      </c>
      <c r="G294" s="60">
        <f>((NPV_New!$D$18*E294)*D294)*(C294)</f>
        <v>0</v>
      </c>
      <c r="H294">
        <f t="shared" si="56"/>
        <v>0</v>
      </c>
    </row>
    <row r="295" spans="1:8">
      <c r="A295">
        <v>4</v>
      </c>
      <c r="B295" s="24">
        <f>Inputs!$B$60</f>
        <v>0</v>
      </c>
      <c r="C295" s="58">
        <f>Inputs!$B$23</f>
        <v>0</v>
      </c>
      <c r="D295" s="58">
        <f>Inputs!$C$23</f>
        <v>0</v>
      </c>
      <c r="E295">
        <v>1</v>
      </c>
      <c r="F295" s="52">
        <f>((NPV_New!$D$18*D295)*C295)*(B295)*E295</f>
        <v>0</v>
      </c>
      <c r="G295" s="60">
        <f>((NPV_New!$D$18*E295)*D295)*(C295)</f>
        <v>0</v>
      </c>
      <c r="H295">
        <f t="shared" si="56"/>
        <v>0</v>
      </c>
    </row>
    <row r="296" spans="1:8">
      <c r="A296">
        <v>5</v>
      </c>
      <c r="B296" s="24">
        <f>Inputs!$B$60</f>
        <v>0</v>
      </c>
      <c r="C296" s="58">
        <f>Inputs!$B$23</f>
        <v>0</v>
      </c>
      <c r="D296" s="58">
        <f>Inputs!$C$23</f>
        <v>0</v>
      </c>
      <c r="E296">
        <v>1</v>
      </c>
      <c r="F296" s="52">
        <f>((NPV_New!$D$18*D296)*C296)*(B296)*E296</f>
        <v>0</v>
      </c>
      <c r="G296" s="60">
        <f>((NPV_New!$D$18*E296)*D296)*(C296)</f>
        <v>0</v>
      </c>
      <c r="H296">
        <f t="shared" si="56"/>
        <v>0</v>
      </c>
    </row>
    <row r="297" spans="1:8">
      <c r="A297">
        <v>6</v>
      </c>
      <c r="B297" s="24">
        <f>Inputs!$B$60</f>
        <v>0</v>
      </c>
      <c r="C297" s="58">
        <f>Inputs!$B$23</f>
        <v>0</v>
      </c>
      <c r="D297" s="58">
        <f>Inputs!$C$23</f>
        <v>0</v>
      </c>
      <c r="E297">
        <v>1</v>
      </c>
      <c r="F297" s="52">
        <f>((NPV_New!$D$18*D297)*C297)*(B297)*E297</f>
        <v>0</v>
      </c>
      <c r="G297" s="60">
        <f>((NPV_New!$D$18*E297)*D297)*(C297)</f>
        <v>0</v>
      </c>
      <c r="H297">
        <f t="shared" si="56"/>
        <v>0</v>
      </c>
    </row>
    <row r="298" spans="1:8">
      <c r="A298">
        <v>7</v>
      </c>
      <c r="B298" s="24">
        <f>Inputs!$B$60</f>
        <v>0</v>
      </c>
      <c r="C298" s="58">
        <f>Inputs!$B$23</f>
        <v>0</v>
      </c>
      <c r="D298" s="58">
        <f>Inputs!$C$23</f>
        <v>0</v>
      </c>
      <c r="E298">
        <v>1</v>
      </c>
      <c r="F298" s="52">
        <f>((NPV_New!$D$18*D298)*C298)*(B298)*E298</f>
        <v>0</v>
      </c>
      <c r="G298" s="60">
        <f>((NPV_New!$D$18*E298)*D298)*(C298)</f>
        <v>0</v>
      </c>
      <c r="H298">
        <f t="shared" si="56"/>
        <v>0</v>
      </c>
    </row>
    <row r="299" spans="1:8">
      <c r="A299">
        <v>8</v>
      </c>
      <c r="B299" s="24">
        <f>Inputs!$B$60</f>
        <v>0</v>
      </c>
      <c r="C299" s="58">
        <f>Inputs!$B$23</f>
        <v>0</v>
      </c>
      <c r="D299" s="58">
        <f>Inputs!$C$23</f>
        <v>0</v>
      </c>
      <c r="E299">
        <v>1</v>
      </c>
      <c r="F299" s="52">
        <f>((NPV_New!$D$18*D299)*C299)*(B299)*E299</f>
        <v>0</v>
      </c>
      <c r="G299" s="60">
        <f>((NPV_New!$D$18*E299)*D299)*(C299)</f>
        <v>0</v>
      </c>
      <c r="H299">
        <f t="shared" si="56"/>
        <v>0</v>
      </c>
    </row>
    <row r="300" spans="1:8">
      <c r="A300">
        <v>9</v>
      </c>
      <c r="B300" s="24">
        <f>Inputs!$B$60</f>
        <v>0</v>
      </c>
      <c r="C300" s="58">
        <f>Inputs!$B$23</f>
        <v>0</v>
      </c>
      <c r="D300" s="58">
        <f>Inputs!$C$23</f>
        <v>0</v>
      </c>
      <c r="E300">
        <v>1</v>
      </c>
      <c r="F300" s="52">
        <f>((NPV_New!$D$18*D300)*C300)*(B300)*E300</f>
        <v>0</v>
      </c>
      <c r="G300" s="60">
        <f>((NPV_New!$D$18*E300)*D300)*(C300)</f>
        <v>0</v>
      </c>
      <c r="H300">
        <f t="shared" si="56"/>
        <v>0</v>
      </c>
    </row>
    <row r="301" spans="1:8">
      <c r="A301">
        <v>10</v>
      </c>
      <c r="B301" s="24">
        <f>Inputs!$B$60</f>
        <v>0</v>
      </c>
      <c r="C301" s="58">
        <f>Inputs!$B$23</f>
        <v>0</v>
      </c>
      <c r="D301" s="58">
        <f>Inputs!$C$23</f>
        <v>0</v>
      </c>
      <c r="E301">
        <v>1</v>
      </c>
      <c r="F301" s="52">
        <f>((NPV_New!$D$18*D301)*C301)*(B301)*E301</f>
        <v>0</v>
      </c>
      <c r="G301" s="60">
        <f>((NPV_New!$D$18*E301)*D301)*(C301)</f>
        <v>0</v>
      </c>
      <c r="H301">
        <f t="shared" si="56"/>
        <v>0</v>
      </c>
    </row>
    <row r="302" spans="1:8">
      <c r="A302">
        <v>11</v>
      </c>
      <c r="B302" s="24">
        <f>Inputs!$B$60</f>
        <v>0</v>
      </c>
      <c r="C302" s="58">
        <f>Inputs!$B$23</f>
        <v>0</v>
      </c>
      <c r="D302" s="58">
        <f>Inputs!$C$23</f>
        <v>0</v>
      </c>
      <c r="E302">
        <v>1</v>
      </c>
      <c r="F302" s="52">
        <f>((NPV_New!$D$18*D302)*C302)*(B302)*E302</f>
        <v>0</v>
      </c>
      <c r="G302" s="60">
        <f>((NPV_New!$D$18*E302)*D302)*(C302)</f>
        <v>0</v>
      </c>
      <c r="H302">
        <f t="shared" si="56"/>
        <v>0</v>
      </c>
    </row>
    <row r="303" spans="1:8">
      <c r="A303">
        <v>12</v>
      </c>
      <c r="B303" s="24">
        <f>Inputs!$B$60</f>
        <v>0</v>
      </c>
      <c r="C303" s="58">
        <f>Inputs!$B$23</f>
        <v>0</v>
      </c>
      <c r="D303" s="58">
        <f>Inputs!$C$23</f>
        <v>0</v>
      </c>
      <c r="E303">
        <v>1</v>
      </c>
      <c r="F303" s="52">
        <f>((NPV_New!$D$18*D303)*C303)*(B303)*E303</f>
        <v>0</v>
      </c>
      <c r="G303" s="60">
        <f>((NPV_New!$D$18*E303)*D303)*(C303)</f>
        <v>0</v>
      </c>
      <c r="H303">
        <f t="shared" si="56"/>
        <v>0</v>
      </c>
    </row>
    <row r="304" spans="1:8">
      <c r="A304">
        <v>13</v>
      </c>
      <c r="B304" s="24">
        <f>Inputs!$B$60</f>
        <v>0</v>
      </c>
      <c r="C304" s="58">
        <f>Inputs!$B$23</f>
        <v>0</v>
      </c>
      <c r="D304" s="58">
        <f>Inputs!$C$23</f>
        <v>0</v>
      </c>
      <c r="E304">
        <v>1</v>
      </c>
      <c r="F304" s="52">
        <f>((NPV_New!$D$18*D304)*C304)*(B304)*E304</f>
        <v>0</v>
      </c>
      <c r="G304" s="60">
        <f>((NPV_New!$D$18*E304)*D304)*(C304)</f>
        <v>0</v>
      </c>
      <c r="H304">
        <f t="shared" si="56"/>
        <v>0</v>
      </c>
    </row>
    <row r="305" spans="1:8">
      <c r="A305">
        <v>14</v>
      </c>
      <c r="B305" s="24">
        <f>Inputs!$B$60</f>
        <v>0</v>
      </c>
      <c r="C305" s="58">
        <f>Inputs!$B$23</f>
        <v>0</v>
      </c>
      <c r="D305" s="58">
        <f>Inputs!$C$23</f>
        <v>0</v>
      </c>
      <c r="E305">
        <v>1</v>
      </c>
      <c r="F305" s="52">
        <f>((NPV_New!$D$18*D305)*C305)*(B305)*E305</f>
        <v>0</v>
      </c>
      <c r="G305" s="60">
        <f>((NPV_New!$D$18*E305)*D305)*(C305)</f>
        <v>0</v>
      </c>
      <c r="H305">
        <f t="shared" si="56"/>
        <v>0</v>
      </c>
    </row>
    <row r="306" spans="1:8">
      <c r="A306">
        <v>15</v>
      </c>
      <c r="B306" s="24">
        <f>Inputs!$B$60</f>
        <v>0</v>
      </c>
      <c r="C306" s="58">
        <f>Inputs!$B$23</f>
        <v>0</v>
      </c>
      <c r="D306" s="58">
        <f>Inputs!$C$23</f>
        <v>0</v>
      </c>
      <c r="E306">
        <v>1</v>
      </c>
      <c r="F306" s="52">
        <f>((NPV_New!$D$18*D306)*C306)*(B306)*E306</f>
        <v>0</v>
      </c>
      <c r="G306" s="60">
        <f>((NPV_New!$D$18*E306)*D306)*(C306)</f>
        <v>0</v>
      </c>
      <c r="H306">
        <f t="shared" si="56"/>
        <v>0</v>
      </c>
    </row>
    <row r="307" spans="1:8">
      <c r="A307">
        <v>16</v>
      </c>
      <c r="B307" s="24">
        <f>Inputs!$B$60</f>
        <v>0</v>
      </c>
      <c r="C307" s="58">
        <f>Inputs!$B$23</f>
        <v>0</v>
      </c>
      <c r="D307" s="58">
        <f>Inputs!$C$23</f>
        <v>0</v>
      </c>
      <c r="E307">
        <v>1</v>
      </c>
      <c r="F307" s="52">
        <f>((NPV_New!$D$18*D307)*C307)*(B307)*E307</f>
        <v>0</v>
      </c>
      <c r="G307" s="60">
        <f>((NPV_New!$D$18*E307)*D307)*(C307)</f>
        <v>0</v>
      </c>
      <c r="H307">
        <f t="shared" si="56"/>
        <v>0</v>
      </c>
    </row>
    <row r="308" spans="1:8">
      <c r="A308">
        <v>17</v>
      </c>
      <c r="B308" s="24">
        <f>Inputs!$B$60</f>
        <v>0</v>
      </c>
      <c r="C308" s="58">
        <f>Inputs!$B$23</f>
        <v>0</v>
      </c>
      <c r="D308" s="58">
        <f>Inputs!$C$23</f>
        <v>0</v>
      </c>
      <c r="E308">
        <v>1</v>
      </c>
      <c r="F308" s="52">
        <f>((NPV_New!$D$18*D308)*C308)*(B308)*E308</f>
        <v>0</v>
      </c>
      <c r="G308" s="60">
        <f>((NPV_New!$D$18*E308)*D308)*(C308)</f>
        <v>0</v>
      </c>
      <c r="H308">
        <f t="shared" si="56"/>
        <v>0</v>
      </c>
    </row>
    <row r="309" spans="1:8">
      <c r="A309">
        <v>18</v>
      </c>
      <c r="B309" s="24">
        <f>Inputs!$B$60</f>
        <v>0</v>
      </c>
      <c r="C309" s="58">
        <f>Inputs!$B$23</f>
        <v>0</v>
      </c>
      <c r="D309" s="58">
        <f>Inputs!$C$23</f>
        <v>0</v>
      </c>
      <c r="E309">
        <v>1</v>
      </c>
      <c r="F309" s="52">
        <f>((NPV_New!$D$18*D309)*C309)*(B309)*E309</f>
        <v>0</v>
      </c>
      <c r="G309" s="60">
        <f>((NPV_New!$D$18*E309)*D309)*(C309)</f>
        <v>0</v>
      </c>
      <c r="H309">
        <f t="shared" si="56"/>
        <v>0</v>
      </c>
    </row>
    <row r="310" spans="1:8">
      <c r="A310">
        <v>19</v>
      </c>
      <c r="B310" s="24">
        <f>Inputs!$B$60</f>
        <v>0</v>
      </c>
      <c r="C310" s="58">
        <f>Inputs!$B$23</f>
        <v>0</v>
      </c>
      <c r="D310" s="58">
        <f>Inputs!$C$23</f>
        <v>0</v>
      </c>
      <c r="E310">
        <v>1</v>
      </c>
      <c r="F310" s="52">
        <f>((NPV_New!$D$18*D310)*C310)*(B310)*E310</f>
        <v>0</v>
      </c>
      <c r="G310" s="60">
        <f>((NPV_New!$D$18*E310)*D310)*(C310)</f>
        <v>0</v>
      </c>
      <c r="H310">
        <f t="shared" si="56"/>
        <v>0</v>
      </c>
    </row>
    <row r="311" spans="1:8">
      <c r="A311">
        <v>20</v>
      </c>
      <c r="B311" s="24">
        <f>Inputs!$B$60</f>
        <v>0</v>
      </c>
      <c r="C311" s="58">
        <f>Inputs!$B$23</f>
        <v>0</v>
      </c>
      <c r="D311" s="58">
        <f>Inputs!$C$23</f>
        <v>0</v>
      </c>
      <c r="E311">
        <v>1</v>
      </c>
      <c r="F311" s="52">
        <f>((NPV_New!$D$18*D311)*C311)*(B311)*E311</f>
        <v>0</v>
      </c>
      <c r="G311" s="60">
        <f>((NPV_New!$D$18*E311)*D311)*(C311)</f>
        <v>0</v>
      </c>
      <c r="H311">
        <f t="shared" si="56"/>
        <v>0</v>
      </c>
    </row>
    <row r="312" spans="1:8">
      <c r="G312" s="60"/>
    </row>
    <row r="313" spans="1:8">
      <c r="G313" s="60"/>
    </row>
    <row r="314" spans="1:8">
      <c r="A314" s="5" t="s">
        <v>69</v>
      </c>
      <c r="B314" s="5" t="s">
        <v>571</v>
      </c>
      <c r="C314" s="5" t="s">
        <v>572</v>
      </c>
      <c r="D314" s="5" t="s">
        <v>573</v>
      </c>
      <c r="E314" s="5" t="s">
        <v>574</v>
      </c>
      <c r="F314" s="5" t="s">
        <v>575</v>
      </c>
      <c r="G314" s="5" t="s">
        <v>576</v>
      </c>
      <c r="H314" s="5" t="s">
        <v>577</v>
      </c>
    </row>
    <row r="315" spans="1:8">
      <c r="A315">
        <v>0</v>
      </c>
      <c r="B315" s="24">
        <f>Inputs!$B$61</f>
        <v>0</v>
      </c>
      <c r="C315" s="58">
        <f>Inputs!$B$24</f>
        <v>0</v>
      </c>
      <c r="D315" s="58">
        <f>Inputs!$C$24</f>
        <v>0</v>
      </c>
      <c r="E315">
        <v>0</v>
      </c>
      <c r="F315" s="52">
        <f>((NPV_New!$D$18*D315)*C315)*(B315)*E315</f>
        <v>0</v>
      </c>
      <c r="G315" s="60">
        <f>((NPV_New!$D$18*E315)*D315)*(C315)</f>
        <v>0</v>
      </c>
      <c r="H315">
        <f t="shared" ref="H315:H335" si="57">G315/100</f>
        <v>0</v>
      </c>
    </row>
    <row r="316" spans="1:8">
      <c r="A316">
        <v>1</v>
      </c>
      <c r="B316" s="24">
        <f>Inputs!$B$61</f>
        <v>0</v>
      </c>
      <c r="C316" s="58">
        <f>Inputs!$B$24</f>
        <v>0</v>
      </c>
      <c r="D316" s="58">
        <f>Inputs!$C$24</f>
        <v>0</v>
      </c>
      <c r="E316">
        <f>E318/3</f>
        <v>0.33333333333333331</v>
      </c>
      <c r="F316" s="52">
        <f>((NPV_New!$D$18*D316)*C316)*(B316)*E316</f>
        <v>0</v>
      </c>
      <c r="G316" s="60">
        <f>((NPV_New!$D$18*E316)*D316)*(C316)</f>
        <v>0</v>
      </c>
      <c r="H316">
        <f t="shared" si="57"/>
        <v>0</v>
      </c>
    </row>
    <row r="317" spans="1:8">
      <c r="A317">
        <v>2</v>
      </c>
      <c r="B317" s="24">
        <f>Inputs!$B$61</f>
        <v>0</v>
      </c>
      <c r="C317" s="58">
        <f>Inputs!$B$24</f>
        <v>0</v>
      </c>
      <c r="D317" s="58">
        <f>Inputs!$C$24</f>
        <v>0</v>
      </c>
      <c r="E317">
        <f>E318*(2/3)</f>
        <v>0.66666666666666663</v>
      </c>
      <c r="F317" s="52">
        <f>((NPV_New!$D$18*D317)*C317)*(B317)*E317</f>
        <v>0</v>
      </c>
      <c r="G317" s="60">
        <f>((NPV_New!$D$18*E317)*D317)*(C317)</f>
        <v>0</v>
      </c>
      <c r="H317">
        <f t="shared" si="57"/>
        <v>0</v>
      </c>
    </row>
    <row r="318" spans="1:8">
      <c r="A318">
        <v>3</v>
      </c>
      <c r="B318" s="24">
        <f>Inputs!$B$61</f>
        <v>0</v>
      </c>
      <c r="C318" s="58">
        <f>Inputs!$B$24</f>
        <v>0</v>
      </c>
      <c r="D318" s="58">
        <f>Inputs!$C$24</f>
        <v>0</v>
      </c>
      <c r="E318">
        <v>1</v>
      </c>
      <c r="F318" s="52">
        <f>((NPV_New!$D$18*D318)*C318)*(B318)*E318</f>
        <v>0</v>
      </c>
      <c r="G318" s="60">
        <f>((NPV_New!$D$18*E318)*D318)*(C318)</f>
        <v>0</v>
      </c>
      <c r="H318">
        <f t="shared" si="57"/>
        <v>0</v>
      </c>
    </row>
    <row r="319" spans="1:8">
      <c r="A319">
        <v>4</v>
      </c>
      <c r="B319" s="24">
        <f>Inputs!$B$61</f>
        <v>0</v>
      </c>
      <c r="C319" s="58">
        <f>Inputs!$B$24</f>
        <v>0</v>
      </c>
      <c r="D319" s="58">
        <f>Inputs!$C$24</f>
        <v>0</v>
      </c>
      <c r="E319">
        <v>1</v>
      </c>
      <c r="F319" s="52">
        <f>((NPV_New!$D$18*D319)*C319)*(B319)*E319</f>
        <v>0</v>
      </c>
      <c r="G319" s="60">
        <f>((NPV_New!$D$18*E319)*D319)*(C319)</f>
        <v>0</v>
      </c>
      <c r="H319">
        <f t="shared" si="57"/>
        <v>0</v>
      </c>
    </row>
    <row r="320" spans="1:8">
      <c r="A320">
        <v>5</v>
      </c>
      <c r="B320" s="24">
        <f>Inputs!$B$61</f>
        <v>0</v>
      </c>
      <c r="C320" s="58">
        <f>Inputs!$B$24</f>
        <v>0</v>
      </c>
      <c r="D320" s="58">
        <f>Inputs!$C$24</f>
        <v>0</v>
      </c>
      <c r="E320">
        <v>1</v>
      </c>
      <c r="F320" s="52">
        <f>((NPV_New!$D$18*D320)*C320)*(B320)*E320</f>
        <v>0</v>
      </c>
      <c r="G320" s="60">
        <f>((NPV_New!$D$18*E320)*D320)*(C320)</f>
        <v>0</v>
      </c>
      <c r="H320">
        <f t="shared" si="57"/>
        <v>0</v>
      </c>
    </row>
    <row r="321" spans="1:8">
      <c r="A321">
        <v>6</v>
      </c>
      <c r="B321" s="24">
        <f>Inputs!$B$61</f>
        <v>0</v>
      </c>
      <c r="C321" s="58">
        <f>Inputs!$B$24</f>
        <v>0</v>
      </c>
      <c r="D321" s="58">
        <f>Inputs!$C$24</f>
        <v>0</v>
      </c>
      <c r="E321">
        <v>1</v>
      </c>
      <c r="F321" s="52">
        <f>((NPV_New!$D$18*D321)*C321)*(B321)*E321</f>
        <v>0</v>
      </c>
      <c r="G321" s="60">
        <f>((NPV_New!$D$18*E321)*D321)*(C321)</f>
        <v>0</v>
      </c>
      <c r="H321">
        <f t="shared" si="57"/>
        <v>0</v>
      </c>
    </row>
    <row r="322" spans="1:8">
      <c r="A322">
        <v>7</v>
      </c>
      <c r="B322" s="24">
        <f>Inputs!$B$61</f>
        <v>0</v>
      </c>
      <c r="C322" s="58">
        <f>Inputs!$B$24</f>
        <v>0</v>
      </c>
      <c r="D322" s="58">
        <f>Inputs!$C$24</f>
        <v>0</v>
      </c>
      <c r="E322">
        <v>1</v>
      </c>
      <c r="F322" s="52">
        <f>((NPV_New!$D$18*D322)*C322)*(B322)*E322</f>
        <v>0</v>
      </c>
      <c r="G322" s="60">
        <f>((NPV_New!$D$18*E322)*D322)*(C322)</f>
        <v>0</v>
      </c>
      <c r="H322">
        <f t="shared" si="57"/>
        <v>0</v>
      </c>
    </row>
    <row r="323" spans="1:8">
      <c r="A323">
        <v>8</v>
      </c>
      <c r="B323" s="24">
        <f>Inputs!$B$61</f>
        <v>0</v>
      </c>
      <c r="C323" s="58">
        <f>Inputs!$B$24</f>
        <v>0</v>
      </c>
      <c r="D323" s="58">
        <f>Inputs!$C$24</f>
        <v>0</v>
      </c>
      <c r="E323">
        <v>1</v>
      </c>
      <c r="F323" s="52">
        <f>((NPV_New!$D$18*D323)*C323)*(B323)*E323</f>
        <v>0</v>
      </c>
      <c r="G323" s="60">
        <f>((NPV_New!$D$18*E323)*D323)*(C323)</f>
        <v>0</v>
      </c>
      <c r="H323">
        <f t="shared" si="57"/>
        <v>0</v>
      </c>
    </row>
    <row r="324" spans="1:8">
      <c r="A324">
        <v>9</v>
      </c>
      <c r="B324" s="24">
        <f>Inputs!$B$61</f>
        <v>0</v>
      </c>
      <c r="C324" s="58">
        <f>Inputs!$B$24</f>
        <v>0</v>
      </c>
      <c r="D324" s="58">
        <f>Inputs!$C$24</f>
        <v>0</v>
      </c>
      <c r="E324">
        <v>1</v>
      </c>
      <c r="F324" s="52">
        <f>((NPV_New!$D$18*D324)*C324)*(B324)*E324</f>
        <v>0</v>
      </c>
      <c r="G324" s="60">
        <f>((NPV_New!$D$18*E324)*D324)*(C324)</f>
        <v>0</v>
      </c>
      <c r="H324">
        <f t="shared" si="57"/>
        <v>0</v>
      </c>
    </row>
    <row r="325" spans="1:8">
      <c r="A325">
        <v>10</v>
      </c>
      <c r="B325" s="24">
        <f>Inputs!$B$61</f>
        <v>0</v>
      </c>
      <c r="C325" s="58">
        <f>Inputs!$B$24</f>
        <v>0</v>
      </c>
      <c r="D325" s="58">
        <f>Inputs!$C$24</f>
        <v>0</v>
      </c>
      <c r="E325">
        <v>1</v>
      </c>
      <c r="F325" s="52">
        <f>((NPV_New!$D$18*D325)*C325)*(B325)*E325</f>
        <v>0</v>
      </c>
      <c r="G325" s="60">
        <f>((NPV_New!$D$18*E325)*D325)*(C325)</f>
        <v>0</v>
      </c>
      <c r="H325">
        <f t="shared" si="57"/>
        <v>0</v>
      </c>
    </row>
    <row r="326" spans="1:8">
      <c r="A326">
        <v>11</v>
      </c>
      <c r="B326" s="24">
        <f>Inputs!$B$61</f>
        <v>0</v>
      </c>
      <c r="C326" s="58">
        <f>Inputs!$B$24</f>
        <v>0</v>
      </c>
      <c r="D326" s="58">
        <f>Inputs!$C$24</f>
        <v>0</v>
      </c>
      <c r="E326">
        <v>1</v>
      </c>
      <c r="F326" s="52">
        <f>((NPV_New!$D$18*D326)*C326)*(B326)*E326</f>
        <v>0</v>
      </c>
      <c r="G326" s="60">
        <f>((NPV_New!$D$18*E326)*D326)*(C326)</f>
        <v>0</v>
      </c>
      <c r="H326">
        <f t="shared" si="57"/>
        <v>0</v>
      </c>
    </row>
    <row r="327" spans="1:8">
      <c r="A327">
        <v>12</v>
      </c>
      <c r="B327" s="24">
        <f>Inputs!$B$61</f>
        <v>0</v>
      </c>
      <c r="C327" s="58">
        <f>Inputs!$B$24</f>
        <v>0</v>
      </c>
      <c r="D327" s="58">
        <f>Inputs!$C$24</f>
        <v>0</v>
      </c>
      <c r="E327">
        <v>1</v>
      </c>
      <c r="F327" s="52">
        <f>((NPV_New!$D$18*D327)*C327)*(B327)*E327</f>
        <v>0</v>
      </c>
      <c r="G327" s="60">
        <f>((NPV_New!$D$18*E327)*D327)*(C327)</f>
        <v>0</v>
      </c>
      <c r="H327">
        <f t="shared" si="57"/>
        <v>0</v>
      </c>
    </row>
    <row r="328" spans="1:8">
      <c r="A328">
        <v>13</v>
      </c>
      <c r="B328" s="24">
        <f>Inputs!$B$61</f>
        <v>0</v>
      </c>
      <c r="C328" s="58">
        <f>Inputs!$B$24</f>
        <v>0</v>
      </c>
      <c r="D328" s="58">
        <f>Inputs!$C$24</f>
        <v>0</v>
      </c>
      <c r="E328">
        <v>1</v>
      </c>
      <c r="F328" s="52">
        <f>((NPV_New!$D$18*D328)*C328)*(B328)*E328</f>
        <v>0</v>
      </c>
      <c r="G328" s="60">
        <f>((NPV_New!$D$18*E328)*D328)*(C328)</f>
        <v>0</v>
      </c>
      <c r="H328">
        <f t="shared" si="57"/>
        <v>0</v>
      </c>
    </row>
    <row r="329" spans="1:8">
      <c r="A329">
        <v>14</v>
      </c>
      <c r="B329" s="24">
        <f>Inputs!$B$61</f>
        <v>0</v>
      </c>
      <c r="C329" s="58">
        <f>Inputs!$B$24</f>
        <v>0</v>
      </c>
      <c r="D329" s="58">
        <f>Inputs!$C$24</f>
        <v>0</v>
      </c>
      <c r="E329">
        <v>1</v>
      </c>
      <c r="F329" s="52">
        <f>((NPV_New!$D$18*D329)*C329)*(B329)*E329</f>
        <v>0</v>
      </c>
      <c r="G329" s="60">
        <f>((NPV_New!$D$18*E329)*D329)*(C329)</f>
        <v>0</v>
      </c>
      <c r="H329">
        <f t="shared" si="57"/>
        <v>0</v>
      </c>
    </row>
    <row r="330" spans="1:8">
      <c r="A330">
        <v>15</v>
      </c>
      <c r="B330" s="24">
        <f>Inputs!$B$61</f>
        <v>0</v>
      </c>
      <c r="C330" s="58">
        <f>Inputs!$B$24</f>
        <v>0</v>
      </c>
      <c r="D330" s="58">
        <f>Inputs!$C$24</f>
        <v>0</v>
      </c>
      <c r="E330">
        <v>1</v>
      </c>
      <c r="F330" s="52">
        <f>((NPV_New!$D$18*D330)*C330)*(B330)*E330</f>
        <v>0</v>
      </c>
      <c r="G330" s="60">
        <f>((NPV_New!$D$18*E330)*D330)*(C330)</f>
        <v>0</v>
      </c>
      <c r="H330">
        <f t="shared" si="57"/>
        <v>0</v>
      </c>
    </row>
    <row r="331" spans="1:8">
      <c r="A331">
        <v>16</v>
      </c>
      <c r="B331" s="24">
        <f>Inputs!$B$61</f>
        <v>0</v>
      </c>
      <c r="C331" s="58">
        <f>Inputs!$B$24</f>
        <v>0</v>
      </c>
      <c r="D331" s="58">
        <f>Inputs!$C$24</f>
        <v>0</v>
      </c>
      <c r="E331">
        <v>1</v>
      </c>
      <c r="F331" s="52">
        <f>((NPV_New!$D$18*D331)*C331)*(B331)*E331</f>
        <v>0</v>
      </c>
      <c r="G331" s="60">
        <f>((NPV_New!$D$18*E331)*D331)*(C331)</f>
        <v>0</v>
      </c>
      <c r="H331">
        <f t="shared" si="57"/>
        <v>0</v>
      </c>
    </row>
    <row r="332" spans="1:8">
      <c r="A332">
        <v>17</v>
      </c>
      <c r="B332" s="24">
        <f>Inputs!$B$61</f>
        <v>0</v>
      </c>
      <c r="C332" s="58">
        <f>Inputs!$B$24</f>
        <v>0</v>
      </c>
      <c r="D332" s="58">
        <f>Inputs!$C$24</f>
        <v>0</v>
      </c>
      <c r="E332">
        <v>1</v>
      </c>
      <c r="F332" s="52">
        <f>((NPV_New!$D$18*D332)*C332)*(B332)*E332</f>
        <v>0</v>
      </c>
      <c r="G332" s="60">
        <f>((NPV_New!$D$18*E332)*D332)*(C332)</f>
        <v>0</v>
      </c>
      <c r="H332">
        <f t="shared" si="57"/>
        <v>0</v>
      </c>
    </row>
    <row r="333" spans="1:8">
      <c r="A333">
        <v>18</v>
      </c>
      <c r="B333" s="24">
        <f>Inputs!$B$61</f>
        <v>0</v>
      </c>
      <c r="C333" s="58">
        <f>Inputs!$B$24</f>
        <v>0</v>
      </c>
      <c r="D333" s="58">
        <f>Inputs!$C$24</f>
        <v>0</v>
      </c>
      <c r="E333">
        <v>1</v>
      </c>
      <c r="F333" s="52">
        <f>((NPV_New!$D$18*D333)*C333)*(B333)*E333</f>
        <v>0</v>
      </c>
      <c r="G333" s="60">
        <f>((NPV_New!$D$18*E333)*D333)*(C333)</f>
        <v>0</v>
      </c>
      <c r="H333">
        <f t="shared" si="57"/>
        <v>0</v>
      </c>
    </row>
    <row r="334" spans="1:8">
      <c r="A334">
        <v>19</v>
      </c>
      <c r="B334" s="24">
        <f>Inputs!$B$61</f>
        <v>0</v>
      </c>
      <c r="C334" s="58">
        <f>Inputs!$B$24</f>
        <v>0</v>
      </c>
      <c r="D334" s="58">
        <f>Inputs!$C$24</f>
        <v>0</v>
      </c>
      <c r="E334">
        <v>1</v>
      </c>
      <c r="F334" s="52">
        <f>((NPV_New!$D$18*D334)*C334)*(B334)*E334</f>
        <v>0</v>
      </c>
      <c r="G334" s="60">
        <f>((NPV_New!$D$18*E334)*D334)*(C334)</f>
        <v>0</v>
      </c>
      <c r="H334">
        <f t="shared" si="57"/>
        <v>0</v>
      </c>
    </row>
    <row r="335" spans="1:8">
      <c r="A335">
        <v>20</v>
      </c>
      <c r="B335" s="24">
        <f>Inputs!$B$61</f>
        <v>0</v>
      </c>
      <c r="C335" s="58">
        <f>Inputs!$B$24</f>
        <v>0</v>
      </c>
      <c r="D335" s="58">
        <f>Inputs!$C$24</f>
        <v>0</v>
      </c>
      <c r="E335">
        <v>1</v>
      </c>
      <c r="F335" s="52">
        <f>((NPV_New!$D$18*D335)*C335)*(B335)*E335</f>
        <v>0</v>
      </c>
      <c r="G335" s="60">
        <f>((NPV_New!$D$18*E335)*D335)*(C335)</f>
        <v>0</v>
      </c>
      <c r="H335">
        <f t="shared" si="57"/>
        <v>0</v>
      </c>
    </row>
    <row r="336" spans="1:8">
      <c r="G336" s="60"/>
    </row>
    <row r="337" spans="1:8">
      <c r="G337" s="60"/>
    </row>
    <row r="338" spans="1:8">
      <c r="A338" s="5" t="s">
        <v>70</v>
      </c>
      <c r="B338" s="5" t="s">
        <v>571</v>
      </c>
      <c r="C338" s="5" t="s">
        <v>572</v>
      </c>
      <c r="D338" s="5" t="s">
        <v>573</v>
      </c>
      <c r="E338" s="5" t="s">
        <v>574</v>
      </c>
      <c r="F338" s="5" t="s">
        <v>575</v>
      </c>
      <c r="G338" s="5" t="s">
        <v>576</v>
      </c>
      <c r="H338" s="5" t="s">
        <v>577</v>
      </c>
    </row>
    <row r="339" spans="1:8">
      <c r="A339">
        <v>0</v>
      </c>
      <c r="B339" s="24">
        <f>Inputs!$B$62</f>
        <v>0</v>
      </c>
      <c r="C339" s="58">
        <f>Inputs!$B$25</f>
        <v>0</v>
      </c>
      <c r="D339" s="58">
        <f>Inputs!$C$25</f>
        <v>0</v>
      </c>
      <c r="E339">
        <v>0</v>
      </c>
      <c r="F339" s="52">
        <f>((NPV_New!$D$18*D339)*C339)*(B339)*E339</f>
        <v>0</v>
      </c>
      <c r="G339" s="60">
        <f>((NPV_New!$D$18*E339)*D339)*(C339)</f>
        <v>0</v>
      </c>
      <c r="H339">
        <f t="shared" ref="H339:H359" si="58">G339/100</f>
        <v>0</v>
      </c>
    </row>
    <row r="340" spans="1:8">
      <c r="A340">
        <v>1</v>
      </c>
      <c r="B340" s="24">
        <f>Inputs!$B$62</f>
        <v>0</v>
      </c>
      <c r="C340" s="58">
        <f>Inputs!$B$25</f>
        <v>0</v>
      </c>
      <c r="D340" s="58">
        <f>Inputs!$C$25</f>
        <v>0</v>
      </c>
      <c r="E340">
        <f>E342/3</f>
        <v>0.33333333333333331</v>
      </c>
      <c r="F340" s="52">
        <f>((NPV_New!$D$18*D340)*C340)*(B340)*E340</f>
        <v>0</v>
      </c>
      <c r="G340" s="60">
        <f>((NPV_New!$D$18*E340)*D340)*(C340)</f>
        <v>0</v>
      </c>
      <c r="H340">
        <f t="shared" si="58"/>
        <v>0</v>
      </c>
    </row>
    <row r="341" spans="1:8">
      <c r="A341">
        <v>2</v>
      </c>
      <c r="B341" s="24">
        <f>Inputs!$B$62</f>
        <v>0</v>
      </c>
      <c r="C341" s="58">
        <f>Inputs!$B$25</f>
        <v>0</v>
      </c>
      <c r="D341" s="58">
        <f>Inputs!$C$25</f>
        <v>0</v>
      </c>
      <c r="E341">
        <f>E342*(2/3)</f>
        <v>0.66666666666666663</v>
      </c>
      <c r="F341" s="52">
        <f>((NPV_New!$D$18*D341)*C341)*(B341)*E341</f>
        <v>0</v>
      </c>
      <c r="G341" s="60">
        <f>((NPV_New!$D$18*E341)*D341)*(C341)</f>
        <v>0</v>
      </c>
      <c r="H341">
        <f t="shared" si="58"/>
        <v>0</v>
      </c>
    </row>
    <row r="342" spans="1:8">
      <c r="A342">
        <v>3</v>
      </c>
      <c r="B342" s="24">
        <f>Inputs!$B$62</f>
        <v>0</v>
      </c>
      <c r="C342" s="58">
        <f>Inputs!$B$25</f>
        <v>0</v>
      </c>
      <c r="D342" s="58">
        <f>Inputs!$C$25</f>
        <v>0</v>
      </c>
      <c r="E342">
        <v>1</v>
      </c>
      <c r="F342" s="52">
        <f>((NPV_New!$D$18*D342)*C342)*(B342)*E342</f>
        <v>0</v>
      </c>
      <c r="G342" s="60">
        <f>((NPV_New!$D$18*E342)*D342)*(C342)</f>
        <v>0</v>
      </c>
      <c r="H342">
        <f t="shared" si="58"/>
        <v>0</v>
      </c>
    </row>
    <row r="343" spans="1:8">
      <c r="A343">
        <v>4</v>
      </c>
      <c r="B343" s="24">
        <f>Inputs!$B$62</f>
        <v>0</v>
      </c>
      <c r="C343" s="58">
        <f>Inputs!$B$25</f>
        <v>0</v>
      </c>
      <c r="D343" s="58">
        <f>Inputs!$C$25</f>
        <v>0</v>
      </c>
      <c r="E343">
        <v>1</v>
      </c>
      <c r="F343" s="52">
        <f>((NPV_New!$D$18*D343)*C343)*(B343)*E343</f>
        <v>0</v>
      </c>
      <c r="G343" s="60">
        <f>((NPV_New!$D$18*E343)*D343)*(C343)</f>
        <v>0</v>
      </c>
      <c r="H343">
        <f t="shared" si="58"/>
        <v>0</v>
      </c>
    </row>
    <row r="344" spans="1:8">
      <c r="A344">
        <v>5</v>
      </c>
      <c r="B344" s="24">
        <f>Inputs!$B$62</f>
        <v>0</v>
      </c>
      <c r="C344" s="58">
        <f>Inputs!$B$25</f>
        <v>0</v>
      </c>
      <c r="D344" s="58">
        <f>Inputs!$C$25</f>
        <v>0</v>
      </c>
      <c r="E344">
        <v>1</v>
      </c>
      <c r="F344" s="52">
        <f>((NPV_New!$D$18*D344)*C344)*(B344)*E344</f>
        <v>0</v>
      </c>
      <c r="G344" s="60">
        <f>((NPV_New!$D$18*E344)*D344)*(C344)</f>
        <v>0</v>
      </c>
      <c r="H344">
        <f t="shared" si="58"/>
        <v>0</v>
      </c>
    </row>
    <row r="345" spans="1:8">
      <c r="A345">
        <v>6</v>
      </c>
      <c r="B345" s="24">
        <f>Inputs!$B$62</f>
        <v>0</v>
      </c>
      <c r="C345" s="58">
        <f>Inputs!$B$25</f>
        <v>0</v>
      </c>
      <c r="D345" s="58">
        <f>Inputs!$C$25</f>
        <v>0</v>
      </c>
      <c r="E345">
        <v>1</v>
      </c>
      <c r="F345" s="52">
        <f>((NPV_New!$D$18*D345)*C345)*(B345)*E345</f>
        <v>0</v>
      </c>
      <c r="G345" s="60">
        <f>((NPV_New!$D$18*E345)*D345)*(C345)</f>
        <v>0</v>
      </c>
      <c r="H345">
        <f t="shared" si="58"/>
        <v>0</v>
      </c>
    </row>
    <row r="346" spans="1:8">
      <c r="A346">
        <v>7</v>
      </c>
      <c r="B346" s="24">
        <f>Inputs!$B$62</f>
        <v>0</v>
      </c>
      <c r="C346" s="58">
        <f>Inputs!$B$25</f>
        <v>0</v>
      </c>
      <c r="D346" s="58">
        <f>Inputs!$C$25</f>
        <v>0</v>
      </c>
      <c r="E346">
        <v>1</v>
      </c>
      <c r="F346" s="52">
        <f>((NPV_New!$D$18*D346)*C346)*(B346)*E346</f>
        <v>0</v>
      </c>
      <c r="G346" s="60">
        <f>((NPV_New!$D$18*E346)*D346)*(C346)</f>
        <v>0</v>
      </c>
      <c r="H346">
        <f t="shared" si="58"/>
        <v>0</v>
      </c>
    </row>
    <row r="347" spans="1:8">
      <c r="A347">
        <v>8</v>
      </c>
      <c r="B347" s="24">
        <f>Inputs!$B$62</f>
        <v>0</v>
      </c>
      <c r="C347" s="58">
        <f>Inputs!$B$25</f>
        <v>0</v>
      </c>
      <c r="D347" s="58">
        <f>Inputs!$C$25</f>
        <v>0</v>
      </c>
      <c r="E347">
        <v>1</v>
      </c>
      <c r="F347" s="52">
        <f>((NPV_New!$D$18*D347)*C347)*(B347)*E347</f>
        <v>0</v>
      </c>
      <c r="G347" s="60">
        <f>((NPV_New!$D$18*E347)*D347)*(C347)</f>
        <v>0</v>
      </c>
      <c r="H347">
        <f t="shared" si="58"/>
        <v>0</v>
      </c>
    </row>
    <row r="348" spans="1:8">
      <c r="A348">
        <v>9</v>
      </c>
      <c r="B348" s="24">
        <f>Inputs!$B$62</f>
        <v>0</v>
      </c>
      <c r="C348" s="58">
        <f>Inputs!$B$25</f>
        <v>0</v>
      </c>
      <c r="D348" s="58">
        <f>Inputs!$C$25</f>
        <v>0</v>
      </c>
      <c r="E348">
        <v>1</v>
      </c>
      <c r="F348" s="52">
        <f>((NPV_New!$D$18*D348)*C348)*(B348)*E348</f>
        <v>0</v>
      </c>
      <c r="G348" s="60">
        <f>((NPV_New!$D$18*E348)*D348)*(C348)</f>
        <v>0</v>
      </c>
      <c r="H348">
        <f t="shared" si="58"/>
        <v>0</v>
      </c>
    </row>
    <row r="349" spans="1:8">
      <c r="A349">
        <v>10</v>
      </c>
      <c r="B349" s="24">
        <f>Inputs!$B$62</f>
        <v>0</v>
      </c>
      <c r="C349" s="58">
        <f>Inputs!$B$25</f>
        <v>0</v>
      </c>
      <c r="D349" s="58">
        <f>Inputs!$C$25</f>
        <v>0</v>
      </c>
      <c r="E349">
        <v>1</v>
      </c>
      <c r="F349" s="52">
        <f>((NPV_New!$D$18*D349)*C349)*(B349)*E349</f>
        <v>0</v>
      </c>
      <c r="G349" s="60">
        <f>((NPV_New!$D$18*E349)*D349)*(C349)</f>
        <v>0</v>
      </c>
      <c r="H349">
        <f t="shared" si="58"/>
        <v>0</v>
      </c>
    </row>
    <row r="350" spans="1:8">
      <c r="A350">
        <v>11</v>
      </c>
      <c r="B350" s="24">
        <f>Inputs!$B$62</f>
        <v>0</v>
      </c>
      <c r="C350" s="58">
        <f>Inputs!$B$25</f>
        <v>0</v>
      </c>
      <c r="D350" s="58">
        <f>Inputs!$C$25</f>
        <v>0</v>
      </c>
      <c r="E350">
        <v>1</v>
      </c>
      <c r="F350" s="52">
        <f>((NPV_New!$D$18*D350)*C350)*(B350)*E350</f>
        <v>0</v>
      </c>
      <c r="G350" s="60">
        <f>((NPV_New!$D$18*E350)*D350)*(C350)</f>
        <v>0</v>
      </c>
      <c r="H350">
        <f t="shared" si="58"/>
        <v>0</v>
      </c>
    </row>
    <row r="351" spans="1:8">
      <c r="A351">
        <v>12</v>
      </c>
      <c r="B351" s="24">
        <f>Inputs!$B$62</f>
        <v>0</v>
      </c>
      <c r="C351" s="58">
        <f>Inputs!$B$25</f>
        <v>0</v>
      </c>
      <c r="D351" s="58">
        <f>Inputs!$C$25</f>
        <v>0</v>
      </c>
      <c r="E351">
        <v>1</v>
      </c>
      <c r="F351" s="52">
        <f>((NPV_New!$D$18*D351)*C351)*(B351)*E351</f>
        <v>0</v>
      </c>
      <c r="G351" s="60">
        <f>((NPV_New!$D$18*E351)*D351)*(C351)</f>
        <v>0</v>
      </c>
      <c r="H351">
        <f t="shared" si="58"/>
        <v>0</v>
      </c>
    </row>
    <row r="352" spans="1:8">
      <c r="A352">
        <v>13</v>
      </c>
      <c r="B352" s="24">
        <f>Inputs!$B$62</f>
        <v>0</v>
      </c>
      <c r="C352" s="58">
        <f>Inputs!$B$25</f>
        <v>0</v>
      </c>
      <c r="D352" s="58">
        <f>Inputs!$C$25</f>
        <v>0</v>
      </c>
      <c r="E352">
        <v>1</v>
      </c>
      <c r="F352" s="52">
        <f>((NPV_New!$D$18*D352)*C352)*(B352)*E352</f>
        <v>0</v>
      </c>
      <c r="G352" s="60">
        <f>((NPV_New!$D$18*E352)*D352)*(C352)</f>
        <v>0</v>
      </c>
      <c r="H352">
        <f t="shared" si="58"/>
        <v>0</v>
      </c>
    </row>
    <row r="353" spans="1:8">
      <c r="A353">
        <v>14</v>
      </c>
      <c r="B353" s="24">
        <f>Inputs!$B$62</f>
        <v>0</v>
      </c>
      <c r="C353" s="58">
        <f>Inputs!$B$25</f>
        <v>0</v>
      </c>
      <c r="D353" s="58">
        <f>Inputs!$C$25</f>
        <v>0</v>
      </c>
      <c r="E353">
        <v>1</v>
      </c>
      <c r="F353" s="52">
        <f>((NPV_New!$D$18*D353)*C353)*(B353)*E353</f>
        <v>0</v>
      </c>
      <c r="G353" s="60">
        <f>((NPV_New!$D$18*E353)*D353)*(C353)</f>
        <v>0</v>
      </c>
      <c r="H353">
        <f t="shared" si="58"/>
        <v>0</v>
      </c>
    </row>
    <row r="354" spans="1:8">
      <c r="A354">
        <v>15</v>
      </c>
      <c r="B354" s="24">
        <f>Inputs!$B$62</f>
        <v>0</v>
      </c>
      <c r="C354" s="58">
        <f>Inputs!$B$25</f>
        <v>0</v>
      </c>
      <c r="D354" s="58">
        <f>Inputs!$C$25</f>
        <v>0</v>
      </c>
      <c r="E354">
        <v>1</v>
      </c>
      <c r="F354" s="52">
        <f>((NPV_New!$D$18*D354)*C354)*(B354)*E354</f>
        <v>0</v>
      </c>
      <c r="G354" s="60">
        <f>((NPV_New!$D$18*E354)*D354)*(C354)</f>
        <v>0</v>
      </c>
      <c r="H354">
        <f t="shared" si="58"/>
        <v>0</v>
      </c>
    </row>
    <row r="355" spans="1:8">
      <c r="A355">
        <v>16</v>
      </c>
      <c r="B355" s="24">
        <f>Inputs!$B$62</f>
        <v>0</v>
      </c>
      <c r="C355" s="58">
        <f>Inputs!$B$25</f>
        <v>0</v>
      </c>
      <c r="D355" s="58">
        <f>Inputs!$C$25</f>
        <v>0</v>
      </c>
      <c r="E355">
        <v>1</v>
      </c>
      <c r="F355" s="52">
        <f>((NPV_New!$D$18*D355)*C355)*(B355)*E355</f>
        <v>0</v>
      </c>
      <c r="G355" s="60">
        <f>((NPV_New!$D$18*E355)*D355)*(C355)</f>
        <v>0</v>
      </c>
      <c r="H355">
        <f t="shared" si="58"/>
        <v>0</v>
      </c>
    </row>
    <row r="356" spans="1:8">
      <c r="A356">
        <v>17</v>
      </c>
      <c r="B356" s="24">
        <f>Inputs!$B$62</f>
        <v>0</v>
      </c>
      <c r="C356" s="58">
        <f>Inputs!$B$25</f>
        <v>0</v>
      </c>
      <c r="D356" s="58">
        <f>Inputs!$C$25</f>
        <v>0</v>
      </c>
      <c r="E356">
        <v>1</v>
      </c>
      <c r="F356" s="52">
        <f>((NPV_New!$D$18*D356)*C356)*(B356)*E356</f>
        <v>0</v>
      </c>
      <c r="G356" s="60">
        <f>((NPV_New!$D$18*E356)*D356)*(C356)</f>
        <v>0</v>
      </c>
      <c r="H356">
        <f t="shared" si="58"/>
        <v>0</v>
      </c>
    </row>
    <row r="357" spans="1:8">
      <c r="A357">
        <v>18</v>
      </c>
      <c r="B357" s="24">
        <f>Inputs!$B$62</f>
        <v>0</v>
      </c>
      <c r="C357" s="58">
        <f>Inputs!$B$25</f>
        <v>0</v>
      </c>
      <c r="D357" s="58">
        <f>Inputs!$C$25</f>
        <v>0</v>
      </c>
      <c r="E357">
        <v>1</v>
      </c>
      <c r="F357" s="52">
        <f>((NPV_New!$D$18*D357)*C357)*(B357)*E357</f>
        <v>0</v>
      </c>
      <c r="G357" s="60">
        <f>((NPV_New!$D$18*E357)*D357)*(C357)</f>
        <v>0</v>
      </c>
      <c r="H357">
        <f t="shared" si="58"/>
        <v>0</v>
      </c>
    </row>
    <row r="358" spans="1:8">
      <c r="A358">
        <v>19</v>
      </c>
      <c r="B358" s="24">
        <f>Inputs!$B$62</f>
        <v>0</v>
      </c>
      <c r="C358" s="58">
        <f>Inputs!$B$25</f>
        <v>0</v>
      </c>
      <c r="D358" s="58">
        <f>Inputs!$C$25</f>
        <v>0</v>
      </c>
      <c r="E358">
        <v>1</v>
      </c>
      <c r="F358" s="52">
        <f>((NPV_New!$D$18*D358)*C358)*(B358)*E358</f>
        <v>0</v>
      </c>
      <c r="G358" s="60">
        <f>((NPV_New!$D$18*E358)*D358)*(C358)</f>
        <v>0</v>
      </c>
      <c r="H358">
        <f t="shared" si="58"/>
        <v>0</v>
      </c>
    </row>
    <row r="359" spans="1:8">
      <c r="A359">
        <v>20</v>
      </c>
      <c r="B359" s="24">
        <f>Inputs!$B$62</f>
        <v>0</v>
      </c>
      <c r="C359" s="58">
        <f>Inputs!$B$25</f>
        <v>0</v>
      </c>
      <c r="D359" s="58">
        <f>Inputs!$C$25</f>
        <v>0</v>
      </c>
      <c r="E359">
        <v>1</v>
      </c>
      <c r="F359" s="52">
        <f>((NPV_New!$D$18*D359)*C359)*(B359)*E359</f>
        <v>0</v>
      </c>
      <c r="G359" s="60">
        <f>((NPV_New!$D$18*E359)*D359)*(C359)</f>
        <v>0</v>
      </c>
      <c r="H359">
        <f t="shared" si="58"/>
        <v>0</v>
      </c>
    </row>
  </sheetData>
  <mergeCells count="9">
    <mergeCell ref="J136:U136"/>
    <mergeCell ref="J160:U160"/>
    <mergeCell ref="C64:E64"/>
    <mergeCell ref="F64:H64"/>
    <mergeCell ref="K39:L39"/>
    <mergeCell ref="K40:L40"/>
    <mergeCell ref="K41:L41"/>
    <mergeCell ref="K42:L42"/>
    <mergeCell ref="J111:U111"/>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09D691-46A4-4FAA-BB8F-C2347DFEB359}">
  <sheetPr codeName="Sheet12"/>
  <dimension ref="A1:W123"/>
  <sheetViews>
    <sheetView workbookViewId="0">
      <selection activeCell="A10" sqref="A10:R10"/>
    </sheetView>
  </sheetViews>
  <sheetFormatPr defaultColWidth="36.5703125" defaultRowHeight="14.45"/>
  <cols>
    <col min="1" max="1" width="17.28515625" customWidth="1"/>
    <col min="2" max="2" width="15.28515625" customWidth="1"/>
    <col min="3" max="3" width="10.7109375" bestFit="1" customWidth="1"/>
    <col min="4" max="4" width="10.42578125" bestFit="1" customWidth="1"/>
    <col min="5" max="5" width="14.28515625" bestFit="1" customWidth="1"/>
    <col min="6" max="6" width="9.42578125" customWidth="1"/>
    <col min="7" max="7" width="9.85546875" customWidth="1"/>
    <col min="8" max="8" width="10.28515625" customWidth="1"/>
    <col min="9" max="9" width="10" bestFit="1" customWidth="1"/>
    <col min="10" max="10" width="9.7109375" customWidth="1"/>
    <col min="11" max="11" width="10.7109375" customWidth="1"/>
    <col min="12" max="12" width="10" customWidth="1"/>
    <col min="13" max="13" width="10.42578125" customWidth="1"/>
    <col min="14" max="14" width="9.85546875" customWidth="1"/>
    <col min="15" max="16" width="9.7109375" customWidth="1"/>
    <col min="17" max="17" width="10.28515625" customWidth="1"/>
    <col min="18" max="18" width="15.28515625" customWidth="1"/>
    <col min="19" max="19" width="7.42578125" bestFit="1" customWidth="1"/>
    <col min="20" max="20" width="12.42578125" bestFit="1" customWidth="1"/>
    <col min="21" max="21" width="6.85546875" bestFit="1" customWidth="1"/>
    <col min="22" max="22" width="12.42578125" bestFit="1" customWidth="1"/>
  </cols>
  <sheetData>
    <row r="1" spans="1:23" ht="48.6" customHeight="1">
      <c r="A1" s="66"/>
      <c r="B1" s="67" t="s">
        <v>593</v>
      </c>
      <c r="C1" s="67" t="s">
        <v>594</v>
      </c>
      <c r="D1" s="67" t="s">
        <v>595</v>
      </c>
      <c r="E1" s="68" t="s">
        <v>596</v>
      </c>
      <c r="F1" s="67" t="s">
        <v>597</v>
      </c>
      <c r="G1" s="68" t="s">
        <v>598</v>
      </c>
      <c r="H1" s="67" t="s">
        <v>599</v>
      </c>
      <c r="I1" s="68" t="s">
        <v>600</v>
      </c>
      <c r="J1" s="67" t="s">
        <v>601</v>
      </c>
      <c r="K1" s="68" t="s">
        <v>602</v>
      </c>
      <c r="L1" s="67" t="s">
        <v>603</v>
      </c>
      <c r="M1" s="68" t="s">
        <v>604</v>
      </c>
      <c r="N1" s="67" t="s">
        <v>605</v>
      </c>
      <c r="O1" s="68" t="s">
        <v>606</v>
      </c>
      <c r="P1" s="67" t="s">
        <v>607</v>
      </c>
      <c r="Q1" s="68" t="s">
        <v>608</v>
      </c>
      <c r="R1" s="67" t="s">
        <v>609</v>
      </c>
    </row>
    <row r="2" spans="1:23">
      <c r="A2" s="66" t="s">
        <v>42</v>
      </c>
      <c r="B2" s="69">
        <f>SUMIF($D$13:$D$90,"cheddar",$C$13:$C$90)</f>
        <v>182.37</v>
      </c>
      <c r="C2" s="70">
        <f>COUNTIF($D$13:$D$90,"cheddar")</f>
        <v>13</v>
      </c>
      <c r="D2" s="71">
        <f>B2/C2</f>
        <v>14.028461538461539</v>
      </c>
      <c r="E2" s="72">
        <f>ROUND(D2*2,0)/2</f>
        <v>14</v>
      </c>
      <c r="F2" s="69">
        <f>_xlfn.STDEV.S(C37:C49)</f>
        <v>3.9075863098888397</v>
      </c>
      <c r="G2" s="73">
        <f>ROUND(F2*2,0)/2</f>
        <v>4</v>
      </c>
      <c r="H2" s="69">
        <f t="shared" ref="H2:H9" si="0">D2-F2</f>
        <v>10.120875228572698</v>
      </c>
      <c r="I2" s="73">
        <f>ROUND(H2*2,0)/2</f>
        <v>10</v>
      </c>
      <c r="J2" s="69">
        <f t="shared" ref="J2:J9" si="1">D2+F2</f>
        <v>17.936047848350377</v>
      </c>
      <c r="K2" s="73">
        <f>ROUND(J2*2,0)/2</f>
        <v>18</v>
      </c>
      <c r="L2" s="69">
        <f>_xlfn.MINIFS($C$13:$C$90,$D$13:$D$90,"cheddar")</f>
        <v>8.99</v>
      </c>
      <c r="M2" s="73">
        <f>ROUND(L2*2,0)/2</f>
        <v>9</v>
      </c>
      <c r="N2" s="69">
        <f>_xlfn.MAXIFS($C$13:$C$90,$D$13:$D$90,"cheddar")</f>
        <v>19.989999999999998</v>
      </c>
      <c r="O2" s="73">
        <f>ROUND(N2*2,0)/2</f>
        <v>20</v>
      </c>
      <c r="P2" s="69">
        <f>MEDIAN(C37:C49)</f>
        <v>11.99</v>
      </c>
      <c r="Q2" s="73">
        <f>ROUND(P2*2,0)/2</f>
        <v>12</v>
      </c>
      <c r="R2" s="74"/>
    </row>
    <row r="3" spans="1:23">
      <c r="A3" s="66" t="s">
        <v>45</v>
      </c>
      <c r="B3" s="69">
        <f>SUMIF($D$13:$D$90,"gouda",$C$13:$C$90)</f>
        <v>100.90094339622641</v>
      </c>
      <c r="C3" s="70">
        <f>COUNTIF($D$13:$D$90,"gouda")</f>
        <v>6</v>
      </c>
      <c r="D3" s="71">
        <f t="shared" ref="D3:D9" si="2">B3/C3</f>
        <v>16.816823899371069</v>
      </c>
      <c r="E3" s="72">
        <f t="shared" ref="E3:E9" si="3">ROUND(D3*2,0)/2</f>
        <v>17</v>
      </c>
      <c r="F3" s="69">
        <f>_xlfn.STDEV.S(C50:C55)</f>
        <v>4.3158785543041605</v>
      </c>
      <c r="G3" s="73">
        <f t="shared" ref="G3:G9" si="4">ROUND(F3*2,0)/2</f>
        <v>4.5</v>
      </c>
      <c r="H3" s="69">
        <f t="shared" si="0"/>
        <v>12.50094534506691</v>
      </c>
      <c r="I3" s="73">
        <f t="shared" ref="I3:I9" si="5">ROUND(H3*2,0)/2</f>
        <v>12.5</v>
      </c>
      <c r="J3" s="69">
        <f t="shared" si="1"/>
        <v>21.132702453675229</v>
      </c>
      <c r="K3" s="73">
        <f t="shared" ref="K3:K9" si="6">ROUND(J3*2,0)/2</f>
        <v>21</v>
      </c>
      <c r="L3" s="69">
        <f>_xlfn.MINIFS($C$13:$C$90,$D$13:$D$90,"gouda")</f>
        <v>9.99</v>
      </c>
      <c r="M3" s="73">
        <f t="shared" ref="M3:M9" si="7">ROUND(L3*2,0)/2</f>
        <v>10</v>
      </c>
      <c r="N3" s="69">
        <f>_xlfn.MAXIFS($C$13:$C$90,$D$13:$D$90,"gouda")</f>
        <v>19.989999999999998</v>
      </c>
      <c r="O3" s="73">
        <f t="shared" ref="O3:O8" si="8">ROUND(N3*2,0)/2</f>
        <v>20</v>
      </c>
      <c r="P3" s="69">
        <f>MEDIAN(C50:C55)</f>
        <v>18.989999999999998</v>
      </c>
      <c r="Q3" s="73">
        <f t="shared" ref="Q3:Q9" si="9">ROUND(P3*2,0)/2</f>
        <v>19</v>
      </c>
      <c r="R3" s="75">
        <f t="shared" ref="R3:R9" si="10">(D3-$D$2)/$D$2</f>
        <v>0.1987646580677957</v>
      </c>
      <c r="S3" t="s">
        <v>610</v>
      </c>
      <c r="T3" t="s">
        <v>611</v>
      </c>
    </row>
    <row r="4" spans="1:23">
      <c r="A4" s="66" t="s">
        <v>48</v>
      </c>
      <c r="B4" s="69">
        <f>SUMIF($D$13:$D$90,"other hard",$C$13:$C$90)</f>
        <v>128.92999999999998</v>
      </c>
      <c r="C4" s="70">
        <f>COUNTIF($D$13:$D$90,"other hard")</f>
        <v>7</v>
      </c>
      <c r="D4" s="71">
        <f t="shared" si="2"/>
        <v>18.418571428571425</v>
      </c>
      <c r="E4" s="72">
        <f t="shared" si="3"/>
        <v>18.5</v>
      </c>
      <c r="F4" s="69">
        <f>_xlfn.STDEV.S(C82:C88)</f>
        <v>0.78679579246944309</v>
      </c>
      <c r="G4" s="73">
        <f t="shared" si="4"/>
        <v>1</v>
      </c>
      <c r="H4" s="69">
        <f t="shared" si="0"/>
        <v>17.631775636101981</v>
      </c>
      <c r="I4" s="73">
        <f t="shared" si="5"/>
        <v>17.5</v>
      </c>
      <c r="J4" s="69">
        <f t="shared" si="1"/>
        <v>19.20536722104087</v>
      </c>
      <c r="K4" s="73">
        <f t="shared" si="6"/>
        <v>19</v>
      </c>
      <c r="L4" s="69">
        <f>_xlfn.MINIFS($C$13:$C$90,$D$13:$D$90,"other hard")</f>
        <v>17.989999999999998</v>
      </c>
      <c r="M4" s="73">
        <f t="shared" si="7"/>
        <v>18</v>
      </c>
      <c r="N4" s="69">
        <f>_xlfn.MAXIFS($C$13:$C$90,$D$13:$D$90,"other hard")</f>
        <v>19.989999999999998</v>
      </c>
      <c r="O4" s="73">
        <f t="shared" si="8"/>
        <v>20</v>
      </c>
      <c r="P4" s="69">
        <f>MEDIAN(C82:C88)</f>
        <v>17.989999999999998</v>
      </c>
      <c r="Q4" s="73">
        <f t="shared" si="9"/>
        <v>18</v>
      </c>
      <c r="R4" s="75">
        <f t="shared" si="10"/>
        <v>0.31294307491050355</v>
      </c>
    </row>
    <row r="5" spans="1:23">
      <c r="A5" s="66" t="s">
        <v>52</v>
      </c>
      <c r="B5" s="69">
        <f>SUMIF($D$13:$D$90,"mozzarella",$C$13:$C$90)</f>
        <v>154.28666666666669</v>
      </c>
      <c r="C5" s="70">
        <f>COUNTIF($D$13:$D$90,"mozzarella")</f>
        <v>13</v>
      </c>
      <c r="D5" s="71">
        <f t="shared" si="2"/>
        <v>11.86820512820513</v>
      </c>
      <c r="E5" s="72">
        <f t="shared" si="3"/>
        <v>12</v>
      </c>
      <c r="F5" s="69">
        <f>_xlfn.STDEV.S(C56:C68)</f>
        <v>4.4251004624261476</v>
      </c>
      <c r="G5" s="73">
        <f t="shared" si="4"/>
        <v>4.5</v>
      </c>
      <c r="H5" s="69">
        <f t="shared" si="0"/>
        <v>7.4431046657789821</v>
      </c>
      <c r="I5" s="73">
        <f t="shared" si="5"/>
        <v>7.5</v>
      </c>
      <c r="J5" s="69">
        <f t="shared" si="1"/>
        <v>16.293305590631277</v>
      </c>
      <c r="K5" s="73">
        <f t="shared" si="6"/>
        <v>16.5</v>
      </c>
      <c r="L5" s="69">
        <f>_xlfn.MINIFS($C$13:$C$90,$D$13:$D$90,"mozzarella")</f>
        <v>6.98</v>
      </c>
      <c r="M5" s="73">
        <f t="shared" si="7"/>
        <v>7</v>
      </c>
      <c r="N5" s="69">
        <f>_xlfn.MAXIFS($C$13:$C$90,$D$13:$D$90,"mozzarella")</f>
        <v>23.98</v>
      </c>
      <c r="O5" s="73">
        <f t="shared" si="8"/>
        <v>24</v>
      </c>
      <c r="P5" s="69">
        <f>MEDIAN(C56:C68)</f>
        <v>9.98</v>
      </c>
      <c r="Q5" s="73">
        <f t="shared" si="9"/>
        <v>10</v>
      </c>
      <c r="R5" s="75">
        <f t="shared" si="10"/>
        <v>-0.15399097073714599</v>
      </c>
      <c r="S5" t="s">
        <v>612</v>
      </c>
      <c r="T5" t="s">
        <v>613</v>
      </c>
    </row>
    <row r="6" spans="1:23">
      <c r="A6" s="66" t="s">
        <v>614</v>
      </c>
      <c r="B6" s="69">
        <f>SUMIF($D$13:$D$90,"brie",$C$13:$C$90)</f>
        <v>98.984285714285704</v>
      </c>
      <c r="C6" s="70">
        <f>COUNTIF($D$13:$D$90,"brie")</f>
        <v>6</v>
      </c>
      <c r="D6" s="71">
        <f t="shared" si="2"/>
        <v>16.497380952380951</v>
      </c>
      <c r="E6" s="72">
        <f t="shared" si="3"/>
        <v>16.5</v>
      </c>
      <c r="F6" s="69">
        <f>_xlfn.STDEV.S(C31:C36)</f>
        <v>4.2172483936336356</v>
      </c>
      <c r="G6" s="73">
        <f t="shared" si="4"/>
        <v>4</v>
      </c>
      <c r="H6" s="69">
        <f t="shared" si="0"/>
        <v>12.280132558747315</v>
      </c>
      <c r="I6" s="73">
        <f t="shared" si="5"/>
        <v>12.5</v>
      </c>
      <c r="J6" s="69">
        <f t="shared" si="1"/>
        <v>20.714629346014586</v>
      </c>
      <c r="K6" s="73">
        <f t="shared" si="6"/>
        <v>20.5</v>
      </c>
      <c r="L6" s="69">
        <f>_xlfn.MINIFS($C$13:$C$90,$D$13:$D$90,"brie")</f>
        <v>10.034285714285714</v>
      </c>
      <c r="M6" s="73">
        <f t="shared" si="7"/>
        <v>10</v>
      </c>
      <c r="N6" s="69">
        <f>_xlfn.MAXIFS($C$13:$C$90,$D$13:$D$90,"brie")</f>
        <v>20.99</v>
      </c>
      <c r="O6" s="73">
        <f t="shared" si="8"/>
        <v>21</v>
      </c>
      <c r="P6" s="69">
        <f>MEDIAN(C31:C36)</f>
        <v>17.489999999999998</v>
      </c>
      <c r="Q6" s="73">
        <f t="shared" si="9"/>
        <v>17.5</v>
      </c>
      <c r="R6" s="75">
        <f t="shared" si="10"/>
        <v>0.17599359752674429</v>
      </c>
    </row>
    <row r="7" spans="1:23">
      <c r="A7" s="66" t="s">
        <v>58</v>
      </c>
      <c r="B7" s="69">
        <f>SUMIF($D$13:$D$90,"alpine",$C$13:$C$90)</f>
        <v>143.72999999999999</v>
      </c>
      <c r="C7" s="70">
        <f>COUNTIF($D$13:$D$90,"alpine")</f>
        <v>8</v>
      </c>
      <c r="D7" s="71">
        <f t="shared" si="2"/>
        <v>17.966249999999999</v>
      </c>
      <c r="E7" s="72">
        <f t="shared" si="3"/>
        <v>18</v>
      </c>
      <c r="F7" s="69">
        <f>_xlfn.STDEV.S(C13:C20)</f>
        <v>5.3738465539792166</v>
      </c>
      <c r="G7" s="73">
        <f t="shared" si="4"/>
        <v>5.5</v>
      </c>
      <c r="H7" s="69">
        <f t="shared" si="0"/>
        <v>12.592403446020782</v>
      </c>
      <c r="I7" s="73">
        <f t="shared" si="5"/>
        <v>12.5</v>
      </c>
      <c r="J7" s="69">
        <f t="shared" si="1"/>
        <v>23.340096553979215</v>
      </c>
      <c r="K7" s="73">
        <f t="shared" si="6"/>
        <v>23.5</v>
      </c>
      <c r="L7" s="69">
        <f>_xlfn.MINIFS($C$13:$C$90,$D$13:$D$90,"alpine")</f>
        <v>12.99</v>
      </c>
      <c r="M7" s="73">
        <f t="shared" si="7"/>
        <v>13</v>
      </c>
      <c r="N7" s="69">
        <f>_xlfn.MAXIFS($C$13:$C$90,$D$13:$D$90,"alpine")</f>
        <v>29.99</v>
      </c>
      <c r="O7" s="73">
        <f t="shared" si="8"/>
        <v>30</v>
      </c>
      <c r="P7" s="69">
        <f>MEDIAN(C13:C20)</f>
        <v>16.794999999999998</v>
      </c>
      <c r="Q7" s="73">
        <f t="shared" si="9"/>
        <v>17</v>
      </c>
      <c r="R7" s="75">
        <f t="shared" si="10"/>
        <v>0.28069995064977782</v>
      </c>
      <c r="S7" t="s">
        <v>615</v>
      </c>
      <c r="T7" t="s">
        <v>616</v>
      </c>
      <c r="U7" t="s">
        <v>617</v>
      </c>
      <c r="V7" t="s">
        <v>618</v>
      </c>
    </row>
    <row r="8" spans="1:23">
      <c r="A8" s="66" t="s">
        <v>61</v>
      </c>
      <c r="B8" s="69">
        <f>SUMIF($D$13:$D$90,"blue",$C$13:$C$90)</f>
        <v>178.09264150943395</v>
      </c>
      <c r="C8" s="70">
        <f>COUNTIF($D$13:$D$90,"blue")</f>
        <v>10</v>
      </c>
      <c r="D8" s="71">
        <f t="shared" si="2"/>
        <v>17.809264150943395</v>
      </c>
      <c r="E8" s="72">
        <f t="shared" si="3"/>
        <v>18</v>
      </c>
      <c r="F8" s="69">
        <f>_xlfn.STDEV.S(C21:C30)</f>
        <v>3.9991610186254665</v>
      </c>
      <c r="G8" s="73">
        <f t="shared" si="4"/>
        <v>4</v>
      </c>
      <c r="H8" s="69">
        <f t="shared" si="0"/>
        <v>13.810103132317929</v>
      </c>
      <c r="I8" s="73">
        <f t="shared" si="5"/>
        <v>14</v>
      </c>
      <c r="J8" s="69">
        <f t="shared" si="1"/>
        <v>21.808425169568864</v>
      </c>
      <c r="K8" s="73">
        <f t="shared" si="6"/>
        <v>22</v>
      </c>
      <c r="L8" s="69">
        <f>_xlfn.MINIFS($C$13:$C$90,$D$13:$D$90,"blue")</f>
        <v>11.622641509433963</v>
      </c>
      <c r="M8" s="73">
        <f t="shared" si="7"/>
        <v>11.5</v>
      </c>
      <c r="N8" s="69">
        <f>_xlfn.MAXIFS($C$13:$C$90,$D$13:$D$90,"blue")</f>
        <v>23.49</v>
      </c>
      <c r="O8" s="73">
        <f t="shared" si="8"/>
        <v>23.5</v>
      </c>
      <c r="P8" s="69">
        <f>MEDIAN(C21:C30)</f>
        <v>19.489999999999998</v>
      </c>
      <c r="Q8" s="73">
        <f t="shared" si="9"/>
        <v>19.5</v>
      </c>
      <c r="R8" s="75">
        <f t="shared" si="10"/>
        <v>0.26950942568549729</v>
      </c>
    </row>
    <row r="9" spans="1:23">
      <c r="A9" s="66" t="s">
        <v>64</v>
      </c>
      <c r="B9" s="69">
        <f>SUMIF($D$13:$D$90,"other fresh",$C$13:$C$90)</f>
        <v>205.72571428571425</v>
      </c>
      <c r="C9" s="70">
        <f>COUNTIF($D$13:$D$90,"other fresh")</f>
        <v>13</v>
      </c>
      <c r="D9" s="71">
        <f t="shared" si="2"/>
        <v>15.825054945054942</v>
      </c>
      <c r="E9" s="72">
        <f t="shared" si="3"/>
        <v>16</v>
      </c>
      <c r="F9" s="69">
        <f>_xlfn.STDEV.S(C69:C81)</f>
        <v>8.7470905767440783</v>
      </c>
      <c r="G9" s="73">
        <f t="shared" si="4"/>
        <v>8.5</v>
      </c>
      <c r="H9" s="69">
        <f t="shared" si="0"/>
        <v>7.0779643683108642</v>
      </c>
      <c r="I9" s="73">
        <f t="shared" si="5"/>
        <v>7</v>
      </c>
      <c r="J9" s="69">
        <f t="shared" si="1"/>
        <v>24.572145521799023</v>
      </c>
      <c r="K9" s="73">
        <f t="shared" si="6"/>
        <v>24.5</v>
      </c>
      <c r="L9" s="69">
        <f>_xlfn.MINIFS($C$13:$C$90,$D$13:$D$90,"other fresh")</f>
        <v>4.38</v>
      </c>
      <c r="M9" s="73">
        <f t="shared" si="7"/>
        <v>4.5</v>
      </c>
      <c r="N9" s="69">
        <f>_xlfn.MAXIFS($C$13:$C$90,$D$13:$D$90,"other fresh")</f>
        <v>37.333333333333329</v>
      </c>
      <c r="O9" s="73">
        <f>ROUND(N9*2,0)/2</f>
        <v>37.5</v>
      </c>
      <c r="P9" s="69">
        <f>MEDIAN(C69:C81)</f>
        <v>14</v>
      </c>
      <c r="Q9" s="73">
        <f t="shared" si="9"/>
        <v>14</v>
      </c>
      <c r="R9" s="75">
        <f t="shared" si="10"/>
        <v>0.12806774297150986</v>
      </c>
      <c r="S9" t="s">
        <v>619</v>
      </c>
      <c r="T9" t="s">
        <v>620</v>
      </c>
      <c r="U9" t="s">
        <v>621</v>
      </c>
      <c r="V9" t="s">
        <v>622</v>
      </c>
      <c r="W9" t="s">
        <v>623</v>
      </c>
    </row>
    <row r="10" spans="1:23">
      <c r="A10" s="610" t="s">
        <v>624</v>
      </c>
      <c r="B10" s="611"/>
      <c r="C10" s="611"/>
      <c r="D10" s="611"/>
      <c r="E10" s="611"/>
      <c r="F10" s="611"/>
      <c r="G10" s="611"/>
      <c r="H10" s="611"/>
      <c r="I10" s="611"/>
      <c r="J10" s="611"/>
      <c r="K10" s="611"/>
      <c r="L10" s="611"/>
      <c r="M10" s="611"/>
      <c r="N10" s="611"/>
      <c r="O10" s="611"/>
      <c r="P10" s="611"/>
      <c r="Q10" s="611"/>
      <c r="R10" s="611"/>
    </row>
    <row r="12" spans="1:23">
      <c r="A12" s="76" t="s">
        <v>38</v>
      </c>
      <c r="B12" s="76" t="s">
        <v>625</v>
      </c>
      <c r="C12" s="76" t="s">
        <v>626</v>
      </c>
      <c r="D12" s="76" t="s">
        <v>627</v>
      </c>
      <c r="E12" s="76" t="s">
        <v>628</v>
      </c>
    </row>
    <row r="13" spans="1:23">
      <c r="A13" s="66" t="s">
        <v>629</v>
      </c>
      <c r="B13" s="66" t="s">
        <v>630</v>
      </c>
      <c r="C13" s="77">
        <v>19.190000000000001</v>
      </c>
      <c r="D13" s="66" t="s">
        <v>584</v>
      </c>
      <c r="E13" s="66" t="s">
        <v>631</v>
      </c>
      <c r="G13" s="78"/>
      <c r="H13" s="66" t="s">
        <v>630</v>
      </c>
    </row>
    <row r="14" spans="1:23">
      <c r="A14" s="66" t="s">
        <v>632</v>
      </c>
      <c r="B14" s="66" t="s">
        <v>630</v>
      </c>
      <c r="C14" s="77">
        <v>13.99</v>
      </c>
      <c r="D14" s="66" t="s">
        <v>584</v>
      </c>
      <c r="E14" s="66" t="s">
        <v>631</v>
      </c>
      <c r="H14" s="66" t="s">
        <v>633</v>
      </c>
    </row>
    <row r="15" spans="1:23">
      <c r="A15" s="66" t="s">
        <v>634</v>
      </c>
      <c r="B15" s="66" t="s">
        <v>630</v>
      </c>
      <c r="C15" s="77">
        <v>18.989999999999998</v>
      </c>
      <c r="D15" s="66" t="s">
        <v>584</v>
      </c>
      <c r="E15" s="66" t="s">
        <v>631</v>
      </c>
      <c r="H15" s="66" t="s">
        <v>635</v>
      </c>
    </row>
    <row r="16" spans="1:23">
      <c r="A16" s="66" t="s">
        <v>636</v>
      </c>
      <c r="B16" s="66" t="s">
        <v>630</v>
      </c>
      <c r="C16" s="77">
        <v>17.989999999999998</v>
      </c>
      <c r="D16" s="66" t="s">
        <v>584</v>
      </c>
      <c r="E16" s="66" t="s">
        <v>631</v>
      </c>
      <c r="H16" s="66" t="s">
        <v>637</v>
      </c>
      <c r="N16" t="s">
        <v>638</v>
      </c>
      <c r="O16" t="s">
        <v>639</v>
      </c>
      <c r="P16" t="s">
        <v>640</v>
      </c>
      <c r="Q16" t="s">
        <v>641</v>
      </c>
    </row>
    <row r="17" spans="1:19">
      <c r="A17" s="66" t="s">
        <v>642</v>
      </c>
      <c r="B17" s="66" t="s">
        <v>633</v>
      </c>
      <c r="C17" s="77">
        <v>14.99</v>
      </c>
      <c r="D17" s="66" t="s">
        <v>584</v>
      </c>
      <c r="E17" s="66" t="s">
        <v>631</v>
      </c>
      <c r="H17" s="66" t="s">
        <v>643</v>
      </c>
      <c r="M17" t="s">
        <v>42</v>
      </c>
      <c r="N17">
        <v>8.99</v>
      </c>
      <c r="O17">
        <v>14.03</v>
      </c>
      <c r="P17">
        <v>19.989999999999998</v>
      </c>
      <c r="Q17" s="80"/>
    </row>
    <row r="18" spans="1:19">
      <c r="A18" s="66" t="s">
        <v>644</v>
      </c>
      <c r="B18" s="66" t="s">
        <v>635</v>
      </c>
      <c r="C18" s="77">
        <v>12.99</v>
      </c>
      <c r="D18" s="66" t="s">
        <v>584</v>
      </c>
      <c r="E18" s="66" t="s">
        <v>631</v>
      </c>
      <c r="H18" s="66" t="s">
        <v>645</v>
      </c>
      <c r="M18" t="s">
        <v>45</v>
      </c>
      <c r="N18">
        <v>9.99</v>
      </c>
      <c r="O18">
        <v>16.82</v>
      </c>
      <c r="P18">
        <v>19.989999999999998</v>
      </c>
      <c r="Q18" s="80">
        <v>0.2</v>
      </c>
      <c r="R18" t="s">
        <v>646</v>
      </c>
    </row>
    <row r="19" spans="1:19">
      <c r="A19" s="66" t="s">
        <v>647</v>
      </c>
      <c r="B19" s="66" t="s">
        <v>637</v>
      </c>
      <c r="C19" s="77">
        <v>29.99</v>
      </c>
      <c r="D19" s="66" t="s">
        <v>584</v>
      </c>
      <c r="E19" s="66" t="s">
        <v>631</v>
      </c>
      <c r="H19" s="66" t="s">
        <v>648</v>
      </c>
      <c r="M19" t="s">
        <v>48</v>
      </c>
      <c r="N19">
        <v>17.989999999999998</v>
      </c>
      <c r="O19">
        <v>18.420000000000002</v>
      </c>
      <c r="P19">
        <v>19.989999999999998</v>
      </c>
      <c r="Q19" s="80">
        <v>0.31</v>
      </c>
    </row>
    <row r="20" spans="1:19">
      <c r="A20" s="66" t="s">
        <v>649</v>
      </c>
      <c r="B20" s="66" t="s">
        <v>643</v>
      </c>
      <c r="C20" s="77">
        <f>(16/6)*5.85</f>
        <v>15.599999999999998</v>
      </c>
      <c r="D20" s="66" t="s">
        <v>584</v>
      </c>
      <c r="E20" s="66" t="s">
        <v>650</v>
      </c>
      <c r="H20" s="66" t="s">
        <v>651</v>
      </c>
      <c r="M20" t="s">
        <v>52</v>
      </c>
      <c r="N20">
        <v>6.98</v>
      </c>
      <c r="O20">
        <v>11.87</v>
      </c>
      <c r="P20">
        <v>23.98</v>
      </c>
      <c r="Q20" s="80">
        <v>-0.15</v>
      </c>
      <c r="R20" t="s">
        <v>652</v>
      </c>
    </row>
    <row r="21" spans="1:19">
      <c r="A21" s="66" t="s">
        <v>653</v>
      </c>
      <c r="B21" s="66" t="s">
        <v>630</v>
      </c>
      <c r="C21" s="77">
        <v>19.989999999999998</v>
      </c>
      <c r="D21" s="66" t="s">
        <v>654</v>
      </c>
      <c r="E21" s="66" t="s">
        <v>631</v>
      </c>
      <c r="H21" s="66" t="s">
        <v>655</v>
      </c>
      <c r="M21" t="s">
        <v>537</v>
      </c>
      <c r="N21">
        <v>10.029999999999999</v>
      </c>
      <c r="O21">
        <v>16.5</v>
      </c>
      <c r="P21">
        <v>20.99</v>
      </c>
      <c r="Q21" s="80">
        <v>0.18</v>
      </c>
    </row>
    <row r="22" spans="1:19">
      <c r="A22" s="66" t="s">
        <v>656</v>
      </c>
      <c r="B22" s="66" t="s">
        <v>645</v>
      </c>
      <c r="C22" s="77">
        <v>19.989999999999998</v>
      </c>
      <c r="D22" s="66" t="s">
        <v>654</v>
      </c>
      <c r="E22" s="66" t="s">
        <v>631</v>
      </c>
      <c r="H22" s="66" t="s">
        <v>657</v>
      </c>
      <c r="M22" t="s">
        <v>58</v>
      </c>
      <c r="N22">
        <v>12.99</v>
      </c>
      <c r="O22">
        <v>17.97</v>
      </c>
      <c r="P22">
        <v>29.99</v>
      </c>
      <c r="Q22" s="81">
        <v>0.28000000000000003</v>
      </c>
      <c r="R22" s="63" t="s">
        <v>658</v>
      </c>
      <c r="S22" s="63"/>
    </row>
    <row r="23" spans="1:19">
      <c r="A23" s="66" t="s">
        <v>659</v>
      </c>
      <c r="B23" s="66" t="s">
        <v>648</v>
      </c>
      <c r="C23" s="77">
        <v>18.989999999999998</v>
      </c>
      <c r="D23" s="66" t="s">
        <v>654</v>
      </c>
      <c r="E23" s="66" t="s">
        <v>631</v>
      </c>
      <c r="H23" s="66" t="s">
        <v>660</v>
      </c>
      <c r="M23" t="s">
        <v>104</v>
      </c>
      <c r="N23">
        <v>11.62</v>
      </c>
      <c r="O23">
        <v>17.809999999999999</v>
      </c>
      <c r="P23">
        <v>23.49</v>
      </c>
      <c r="Q23" s="80">
        <v>0.27</v>
      </c>
    </row>
    <row r="24" spans="1:19">
      <c r="A24" s="66" t="s">
        <v>661</v>
      </c>
      <c r="B24" s="66" t="s">
        <v>651</v>
      </c>
      <c r="C24" s="77">
        <v>14.99</v>
      </c>
      <c r="D24" s="66" t="s">
        <v>654</v>
      </c>
      <c r="E24" s="66" t="s">
        <v>631</v>
      </c>
      <c r="H24" s="66" t="s">
        <v>662</v>
      </c>
      <c r="M24" t="s">
        <v>64</v>
      </c>
      <c r="N24">
        <v>4.38</v>
      </c>
      <c r="O24">
        <v>15.83</v>
      </c>
      <c r="P24">
        <v>37.33</v>
      </c>
      <c r="Q24" s="81">
        <v>0.13</v>
      </c>
      <c r="R24" s="63" t="s">
        <v>663</v>
      </c>
      <c r="S24" s="63"/>
    </row>
    <row r="25" spans="1:19">
      <c r="A25" s="66" t="s">
        <v>664</v>
      </c>
      <c r="B25" s="66" t="s">
        <v>655</v>
      </c>
      <c r="C25" s="77">
        <v>20.99</v>
      </c>
      <c r="D25" s="66" t="s">
        <v>654</v>
      </c>
      <c r="E25" s="66" t="s">
        <v>631</v>
      </c>
      <c r="H25" s="66" t="s">
        <v>665</v>
      </c>
      <c r="M25" t="s">
        <v>105</v>
      </c>
      <c r="Q25" s="79"/>
      <c r="R25" s="79"/>
      <c r="S25" s="79"/>
    </row>
    <row r="26" spans="1:19">
      <c r="A26" s="66" t="s">
        <v>666</v>
      </c>
      <c r="B26" s="66" t="s">
        <v>657</v>
      </c>
      <c r="C26" s="77">
        <v>23.49</v>
      </c>
      <c r="D26" s="66" t="s">
        <v>654</v>
      </c>
      <c r="E26" s="66" t="s">
        <v>631</v>
      </c>
      <c r="H26" s="66" t="s">
        <v>667</v>
      </c>
      <c r="M26" t="s">
        <v>106</v>
      </c>
    </row>
    <row r="27" spans="1:19">
      <c r="A27" s="66" t="s">
        <v>668</v>
      </c>
      <c r="B27" s="66" t="s">
        <v>660</v>
      </c>
      <c r="C27" s="77">
        <v>19.989999999999998</v>
      </c>
      <c r="D27" s="66" t="s">
        <v>654</v>
      </c>
      <c r="E27" s="66" t="s">
        <v>631</v>
      </c>
      <c r="H27" s="66" t="s">
        <v>669</v>
      </c>
      <c r="M27" t="s">
        <v>107</v>
      </c>
      <c r="N27" s="79"/>
      <c r="O27" s="79"/>
    </row>
    <row r="28" spans="1:19">
      <c r="A28" s="66" t="s">
        <v>670</v>
      </c>
      <c r="B28" s="66" t="s">
        <v>662</v>
      </c>
      <c r="C28" s="77">
        <f>(16/5)*3.65</f>
        <v>11.68</v>
      </c>
      <c r="D28" s="66" t="s">
        <v>654</v>
      </c>
      <c r="E28" s="66" t="s">
        <v>650</v>
      </c>
      <c r="H28" s="66" t="s">
        <v>671</v>
      </c>
    </row>
    <row r="29" spans="1:19">
      <c r="A29" s="66" t="s">
        <v>672</v>
      </c>
      <c r="B29" s="66" t="s">
        <v>643</v>
      </c>
      <c r="C29" s="77">
        <f>(16/4)*4.09</f>
        <v>16.36</v>
      </c>
      <c r="D29" s="66" t="s">
        <v>654</v>
      </c>
      <c r="E29" s="66" t="s">
        <v>650</v>
      </c>
      <c r="H29" s="66" t="s">
        <v>673</v>
      </c>
    </row>
    <row r="30" spans="1:19">
      <c r="A30" s="66" t="s">
        <v>674</v>
      </c>
      <c r="B30" s="66" t="s">
        <v>662</v>
      </c>
      <c r="C30" s="77">
        <f>(16/5.3)*3.85</f>
        <v>11.622641509433963</v>
      </c>
      <c r="D30" s="66" t="s">
        <v>654</v>
      </c>
      <c r="E30" s="66" t="s">
        <v>650</v>
      </c>
      <c r="H30" s="66" t="s">
        <v>675</v>
      </c>
    </row>
    <row r="31" spans="1:19">
      <c r="A31" s="66" t="s">
        <v>614</v>
      </c>
      <c r="B31" s="66" t="s">
        <v>630</v>
      </c>
      <c r="C31" s="77">
        <v>12.99</v>
      </c>
      <c r="D31" s="66" t="s">
        <v>583</v>
      </c>
      <c r="E31" s="66" t="s">
        <v>631</v>
      </c>
      <c r="H31" s="66" t="s">
        <v>676</v>
      </c>
    </row>
    <row r="32" spans="1:19">
      <c r="A32" s="66" t="s">
        <v>677</v>
      </c>
      <c r="B32" s="66" t="s">
        <v>630</v>
      </c>
      <c r="C32" s="77">
        <v>16.989999999999998</v>
      </c>
      <c r="D32" s="66" t="s">
        <v>583</v>
      </c>
      <c r="E32" s="66" t="s">
        <v>631</v>
      </c>
      <c r="H32" s="66" t="s">
        <v>678</v>
      </c>
    </row>
    <row r="33" spans="1:8">
      <c r="A33" s="66" t="s">
        <v>679</v>
      </c>
      <c r="B33" s="66" t="s">
        <v>630</v>
      </c>
      <c r="C33" s="77">
        <v>20.99</v>
      </c>
      <c r="D33" s="66" t="s">
        <v>583</v>
      </c>
      <c r="E33" s="66" t="s">
        <v>631</v>
      </c>
      <c r="H33" s="66" t="s">
        <v>680</v>
      </c>
    </row>
    <row r="34" spans="1:8">
      <c r="A34" s="66" t="s">
        <v>681</v>
      </c>
      <c r="B34" s="66"/>
      <c r="C34" s="77">
        <v>17.989999999999998</v>
      </c>
      <c r="D34" s="66" t="s">
        <v>583</v>
      </c>
      <c r="E34" s="66" t="s">
        <v>631</v>
      </c>
      <c r="H34" s="66" t="s">
        <v>682</v>
      </c>
    </row>
    <row r="35" spans="1:8">
      <c r="A35" s="66" t="s">
        <v>683</v>
      </c>
      <c r="B35" s="66" t="s">
        <v>665</v>
      </c>
      <c r="C35" s="77">
        <v>19.989999999999998</v>
      </c>
      <c r="D35" s="66" t="s">
        <v>583</v>
      </c>
      <c r="E35" s="66" t="s">
        <v>631</v>
      </c>
      <c r="H35" s="66" t="s">
        <v>684</v>
      </c>
    </row>
    <row r="36" spans="1:8">
      <c r="A36" s="66" t="s">
        <v>685</v>
      </c>
      <c r="B36" s="66" t="s">
        <v>662</v>
      </c>
      <c r="C36" s="77">
        <f>(16/7)*4.39</f>
        <v>10.034285714285714</v>
      </c>
      <c r="D36" s="66" t="s">
        <v>583</v>
      </c>
      <c r="E36" s="66" t="s">
        <v>650</v>
      </c>
      <c r="H36" s="66" t="s">
        <v>686</v>
      </c>
    </row>
    <row r="37" spans="1:8">
      <c r="A37" s="66" t="s">
        <v>687</v>
      </c>
      <c r="B37" s="66" t="s">
        <v>630</v>
      </c>
      <c r="C37" s="77">
        <v>11.99</v>
      </c>
      <c r="D37" s="66" t="s">
        <v>579</v>
      </c>
      <c r="E37" s="66" t="s">
        <v>631</v>
      </c>
      <c r="H37" s="66" t="s">
        <v>688</v>
      </c>
    </row>
    <row r="38" spans="1:8">
      <c r="A38" s="66" t="s">
        <v>689</v>
      </c>
      <c r="B38" s="66" t="s">
        <v>630</v>
      </c>
      <c r="C38" s="77">
        <v>13.99</v>
      </c>
      <c r="D38" s="66" t="s">
        <v>579</v>
      </c>
      <c r="E38" s="66" t="s">
        <v>631</v>
      </c>
      <c r="H38" s="66" t="s">
        <v>631</v>
      </c>
    </row>
    <row r="39" spans="1:8">
      <c r="A39" s="66" t="s">
        <v>690</v>
      </c>
      <c r="B39" s="66" t="s">
        <v>630</v>
      </c>
      <c r="C39" s="77">
        <v>14.99</v>
      </c>
      <c r="D39" s="66" t="s">
        <v>579</v>
      </c>
      <c r="E39" s="66" t="s">
        <v>631</v>
      </c>
      <c r="H39" s="66" t="s">
        <v>691</v>
      </c>
    </row>
    <row r="40" spans="1:8">
      <c r="A40" s="66" t="s">
        <v>692</v>
      </c>
      <c r="B40" s="66" t="s">
        <v>630</v>
      </c>
      <c r="C40" s="77">
        <v>11.99</v>
      </c>
      <c r="D40" s="66" t="s">
        <v>579</v>
      </c>
      <c r="E40" s="66" t="s">
        <v>631</v>
      </c>
      <c r="H40" s="66" t="s">
        <v>693</v>
      </c>
    </row>
    <row r="41" spans="1:8">
      <c r="A41" s="66" t="s">
        <v>694</v>
      </c>
      <c r="B41" s="66" t="s">
        <v>630</v>
      </c>
      <c r="C41" s="77">
        <v>11.99</v>
      </c>
      <c r="D41" s="66" t="s">
        <v>579</v>
      </c>
      <c r="E41" s="66" t="s">
        <v>631</v>
      </c>
      <c r="H41" s="66" t="s">
        <v>695</v>
      </c>
    </row>
    <row r="42" spans="1:8">
      <c r="A42" s="66" t="s">
        <v>696</v>
      </c>
      <c r="B42" s="66" t="s">
        <v>630</v>
      </c>
      <c r="C42" s="77">
        <v>16.989999999999998</v>
      </c>
      <c r="D42" s="66" t="s">
        <v>579</v>
      </c>
      <c r="E42" s="66" t="s">
        <v>631</v>
      </c>
    </row>
    <row r="43" spans="1:8">
      <c r="A43" s="66" t="s">
        <v>697</v>
      </c>
      <c r="B43" s="66" t="s">
        <v>667</v>
      </c>
      <c r="C43" s="77">
        <v>10.99</v>
      </c>
      <c r="D43" s="66" t="s">
        <v>579</v>
      </c>
      <c r="E43" s="66" t="s">
        <v>631</v>
      </c>
    </row>
    <row r="44" spans="1:8">
      <c r="A44" s="66" t="s">
        <v>698</v>
      </c>
      <c r="B44" s="66" t="s">
        <v>667</v>
      </c>
      <c r="C44" s="77">
        <v>8.99</v>
      </c>
      <c r="D44" s="66" t="s">
        <v>579</v>
      </c>
      <c r="E44" s="66" t="s">
        <v>631</v>
      </c>
    </row>
    <row r="45" spans="1:8">
      <c r="A45" s="66" t="s">
        <v>42</v>
      </c>
      <c r="B45" s="66" t="s">
        <v>669</v>
      </c>
      <c r="C45" s="77">
        <v>19.989999999999998</v>
      </c>
      <c r="D45" s="66" t="s">
        <v>579</v>
      </c>
      <c r="E45" s="66" t="s">
        <v>631</v>
      </c>
    </row>
    <row r="46" spans="1:8">
      <c r="A46" s="66" t="s">
        <v>699</v>
      </c>
      <c r="B46" s="66" t="s">
        <v>667</v>
      </c>
      <c r="C46" s="77">
        <v>10.99</v>
      </c>
      <c r="D46" s="66" t="s">
        <v>579</v>
      </c>
      <c r="E46" s="66" t="s">
        <v>631</v>
      </c>
    </row>
    <row r="47" spans="1:8">
      <c r="A47" s="66" t="s">
        <v>700</v>
      </c>
      <c r="B47" s="66" t="s">
        <v>671</v>
      </c>
      <c r="C47" s="77">
        <v>19.989999999999998</v>
      </c>
      <c r="D47" s="66" t="s">
        <v>579</v>
      </c>
      <c r="E47" s="66" t="s">
        <v>631</v>
      </c>
    </row>
    <row r="48" spans="1:8">
      <c r="A48" s="66" t="s">
        <v>701</v>
      </c>
      <c r="B48" s="66" t="s">
        <v>655</v>
      </c>
      <c r="C48" s="77">
        <v>19.489999999999998</v>
      </c>
      <c r="D48" s="66" t="s">
        <v>579</v>
      </c>
      <c r="E48" s="66" t="s">
        <v>631</v>
      </c>
    </row>
    <row r="49" spans="1:5">
      <c r="A49" s="66" t="s">
        <v>702</v>
      </c>
      <c r="B49" s="66" t="s">
        <v>673</v>
      </c>
      <c r="C49" s="77">
        <v>9.99</v>
      </c>
      <c r="D49" s="66" t="s">
        <v>579</v>
      </c>
      <c r="E49" s="66" t="s">
        <v>631</v>
      </c>
    </row>
    <row r="50" spans="1:5">
      <c r="A50" s="66" t="s">
        <v>703</v>
      </c>
      <c r="B50" s="66" t="s">
        <v>630</v>
      </c>
      <c r="C50" s="77">
        <v>9.99</v>
      </c>
      <c r="D50" s="66" t="s">
        <v>580</v>
      </c>
      <c r="E50" s="66" t="s">
        <v>631</v>
      </c>
    </row>
    <row r="51" spans="1:5">
      <c r="A51" s="66" t="s">
        <v>704</v>
      </c>
      <c r="B51" s="66" t="s">
        <v>630</v>
      </c>
      <c r="C51" s="77">
        <v>17.989999999999998</v>
      </c>
      <c r="D51" s="66" t="s">
        <v>580</v>
      </c>
      <c r="E51" s="66" t="s">
        <v>631</v>
      </c>
    </row>
    <row r="52" spans="1:5">
      <c r="A52" s="66" t="s">
        <v>705</v>
      </c>
      <c r="B52" s="66" t="s">
        <v>630</v>
      </c>
      <c r="C52" s="77">
        <v>19.989999999999998</v>
      </c>
      <c r="D52" s="66" t="s">
        <v>580</v>
      </c>
      <c r="E52" s="66" t="s">
        <v>631</v>
      </c>
    </row>
    <row r="53" spans="1:5">
      <c r="A53" s="66" t="s">
        <v>706</v>
      </c>
      <c r="B53" s="66" t="s">
        <v>630</v>
      </c>
      <c r="C53" s="77">
        <v>19.989999999999998</v>
      </c>
      <c r="D53" s="66" t="s">
        <v>580</v>
      </c>
      <c r="E53" s="66" t="s">
        <v>631</v>
      </c>
    </row>
    <row r="54" spans="1:5">
      <c r="A54" s="66" t="s">
        <v>45</v>
      </c>
      <c r="B54" s="66" t="s">
        <v>675</v>
      </c>
      <c r="C54" s="77">
        <v>19.989999999999998</v>
      </c>
      <c r="D54" s="66" t="s">
        <v>580</v>
      </c>
      <c r="E54" s="66" t="s">
        <v>631</v>
      </c>
    </row>
    <row r="55" spans="1:5">
      <c r="A55" s="66" t="s">
        <v>707</v>
      </c>
      <c r="B55" s="66" t="s">
        <v>662</v>
      </c>
      <c r="C55" s="77">
        <f>(16/5.3)*4.29</f>
        <v>12.950943396226416</v>
      </c>
      <c r="D55" s="66" t="s">
        <v>580</v>
      </c>
      <c r="E55" s="66" t="s">
        <v>650</v>
      </c>
    </row>
    <row r="56" spans="1:5">
      <c r="A56" s="66" t="s">
        <v>708</v>
      </c>
      <c r="B56" s="66" t="s">
        <v>630</v>
      </c>
      <c r="C56" s="77">
        <f>11.99*2</f>
        <v>23.98</v>
      </c>
      <c r="D56" s="66" t="s">
        <v>709</v>
      </c>
      <c r="E56" s="66" t="s">
        <v>631</v>
      </c>
    </row>
    <row r="57" spans="1:5">
      <c r="A57" s="66" t="s">
        <v>710</v>
      </c>
      <c r="B57" s="66" t="s">
        <v>630</v>
      </c>
      <c r="C57" s="77">
        <f>7.99*2</f>
        <v>15.98</v>
      </c>
      <c r="D57" s="66" t="s">
        <v>709</v>
      </c>
      <c r="E57" s="66" t="s">
        <v>631</v>
      </c>
    </row>
    <row r="58" spans="1:5">
      <c r="A58" s="66" t="s">
        <v>711</v>
      </c>
      <c r="B58" s="66" t="s">
        <v>630</v>
      </c>
      <c r="C58" s="77">
        <v>13</v>
      </c>
      <c r="D58" s="66" t="s">
        <v>709</v>
      </c>
      <c r="E58" s="66" t="s">
        <v>712</v>
      </c>
    </row>
    <row r="59" spans="1:5">
      <c r="A59" s="66" t="s">
        <v>713</v>
      </c>
      <c r="B59" s="66" t="s">
        <v>676</v>
      </c>
      <c r="C59" s="77">
        <f>(16/8)*6.99</f>
        <v>13.98</v>
      </c>
      <c r="D59" s="66" t="s">
        <v>709</v>
      </c>
      <c r="E59" s="66" t="s">
        <v>631</v>
      </c>
    </row>
    <row r="60" spans="1:5">
      <c r="A60" s="66" t="s">
        <v>714</v>
      </c>
      <c r="B60" s="66" t="s">
        <v>676</v>
      </c>
      <c r="C60" s="77">
        <f>(16/8)*4.99</f>
        <v>9.98</v>
      </c>
      <c r="D60" s="66" t="s">
        <v>709</v>
      </c>
      <c r="E60" s="66" t="s">
        <v>631</v>
      </c>
    </row>
    <row r="61" spans="1:5">
      <c r="A61" s="66" t="s">
        <v>715</v>
      </c>
      <c r="B61" s="66" t="s">
        <v>678</v>
      </c>
      <c r="C61" s="77">
        <f>(16/8)*3.49</f>
        <v>6.98</v>
      </c>
      <c r="D61" s="66" t="s">
        <v>709</v>
      </c>
      <c r="E61" s="66" t="s">
        <v>631</v>
      </c>
    </row>
    <row r="62" spans="1:5">
      <c r="A62" s="66" t="s">
        <v>716</v>
      </c>
      <c r="B62" s="66" t="s">
        <v>676</v>
      </c>
      <c r="C62" s="77">
        <f>(16/8)*4.99</f>
        <v>9.98</v>
      </c>
      <c r="D62" s="66" t="s">
        <v>709</v>
      </c>
      <c r="E62" s="66" t="s">
        <v>631</v>
      </c>
    </row>
    <row r="63" spans="1:5">
      <c r="A63" s="66" t="s">
        <v>715</v>
      </c>
      <c r="B63" s="66" t="s">
        <v>678</v>
      </c>
      <c r="C63" s="77">
        <v>7.49</v>
      </c>
      <c r="D63" s="66" t="s">
        <v>709</v>
      </c>
      <c r="E63" s="66" t="s">
        <v>631</v>
      </c>
    </row>
    <row r="64" spans="1:5">
      <c r="A64" s="66" t="s">
        <v>717</v>
      </c>
      <c r="B64" s="66" t="s">
        <v>676</v>
      </c>
      <c r="C64" s="77">
        <f>(16/8)*4.99</f>
        <v>9.98</v>
      </c>
      <c r="D64" s="66" t="s">
        <v>709</v>
      </c>
      <c r="E64" s="66" t="s">
        <v>631</v>
      </c>
    </row>
    <row r="65" spans="1:5">
      <c r="A65" s="66" t="s">
        <v>718</v>
      </c>
      <c r="B65" s="66" t="s">
        <v>676</v>
      </c>
      <c r="C65" s="77">
        <f>(16/8)*5.99</f>
        <v>11.98</v>
      </c>
      <c r="D65" s="66" t="s">
        <v>709</v>
      </c>
      <c r="E65" s="66" t="s">
        <v>631</v>
      </c>
    </row>
    <row r="66" spans="1:5">
      <c r="A66" s="66" t="s">
        <v>719</v>
      </c>
      <c r="B66" s="66" t="s">
        <v>676</v>
      </c>
      <c r="C66" s="77">
        <v>8.99</v>
      </c>
      <c r="D66" s="66" t="s">
        <v>709</v>
      </c>
      <c r="E66" s="66" t="s">
        <v>631</v>
      </c>
    </row>
    <row r="67" spans="1:5">
      <c r="A67" s="66" t="s">
        <v>720</v>
      </c>
      <c r="B67" s="66" t="s">
        <v>676</v>
      </c>
      <c r="C67" s="77">
        <f>(16/8)*4.99</f>
        <v>9.98</v>
      </c>
      <c r="D67" s="66" t="s">
        <v>709</v>
      </c>
      <c r="E67" s="66" t="s">
        <v>631</v>
      </c>
    </row>
    <row r="68" spans="1:5">
      <c r="A68" s="66" t="s">
        <v>721</v>
      </c>
      <c r="B68" s="66" t="s">
        <v>676</v>
      </c>
      <c r="C68" s="77">
        <f>(16/12)*8.99</f>
        <v>11.986666666666666</v>
      </c>
      <c r="D68" s="66" t="s">
        <v>709</v>
      </c>
      <c r="E68" s="66" t="s">
        <v>631</v>
      </c>
    </row>
    <row r="69" spans="1:5">
      <c r="A69" s="66" t="s">
        <v>722</v>
      </c>
      <c r="B69" s="66" t="s">
        <v>630</v>
      </c>
      <c r="C69" s="77">
        <f>6.99*2</f>
        <v>13.98</v>
      </c>
      <c r="D69" s="66" t="s">
        <v>586</v>
      </c>
      <c r="E69" s="66" t="s">
        <v>631</v>
      </c>
    </row>
    <row r="70" spans="1:5">
      <c r="A70" s="66" t="s">
        <v>723</v>
      </c>
      <c r="B70" s="66" t="s">
        <v>680</v>
      </c>
      <c r="C70" s="77">
        <f>10*2</f>
        <v>20</v>
      </c>
      <c r="D70" s="66" t="s">
        <v>586</v>
      </c>
      <c r="E70" s="66" t="s">
        <v>712</v>
      </c>
    </row>
    <row r="71" spans="1:5">
      <c r="A71" s="66" t="s">
        <v>724</v>
      </c>
      <c r="B71" s="66" t="s">
        <v>682</v>
      </c>
      <c r="C71" s="77">
        <f>(16/6)*14</f>
        <v>37.333333333333329</v>
      </c>
      <c r="D71" s="66" t="s">
        <v>586</v>
      </c>
      <c r="E71" s="66" t="s">
        <v>712</v>
      </c>
    </row>
    <row r="72" spans="1:5">
      <c r="A72" s="66" t="s">
        <v>725</v>
      </c>
      <c r="B72" s="66" t="s">
        <v>684</v>
      </c>
      <c r="C72" s="77">
        <f>(16/5)*8</f>
        <v>25.6</v>
      </c>
      <c r="D72" s="66" t="s">
        <v>586</v>
      </c>
      <c r="E72" s="66" t="s">
        <v>712</v>
      </c>
    </row>
    <row r="73" spans="1:5">
      <c r="A73" s="66" t="s">
        <v>726</v>
      </c>
      <c r="B73" s="66" t="s">
        <v>686</v>
      </c>
      <c r="C73" s="77">
        <v>17</v>
      </c>
      <c r="D73" s="66" t="s">
        <v>586</v>
      </c>
      <c r="E73" s="66" t="s">
        <v>712</v>
      </c>
    </row>
    <row r="74" spans="1:5">
      <c r="A74" s="66" t="s">
        <v>727</v>
      </c>
      <c r="B74" s="66" t="s">
        <v>686</v>
      </c>
      <c r="C74" s="77">
        <v>14</v>
      </c>
      <c r="D74" s="66" t="s">
        <v>586</v>
      </c>
      <c r="E74" s="66" t="s">
        <v>712</v>
      </c>
    </row>
    <row r="75" spans="1:5">
      <c r="A75" s="66" t="s">
        <v>728</v>
      </c>
      <c r="B75" s="66" t="s">
        <v>630</v>
      </c>
      <c r="C75" s="77">
        <f>9*2</f>
        <v>18</v>
      </c>
      <c r="D75" s="66" t="s">
        <v>586</v>
      </c>
      <c r="E75" s="66" t="s">
        <v>712</v>
      </c>
    </row>
    <row r="76" spans="1:5">
      <c r="A76" s="66" t="s">
        <v>729</v>
      </c>
      <c r="B76" s="66" t="s">
        <v>630</v>
      </c>
      <c r="C76" s="77">
        <v>12</v>
      </c>
      <c r="D76" s="66" t="s">
        <v>586</v>
      </c>
      <c r="E76" s="66" t="s">
        <v>712</v>
      </c>
    </row>
    <row r="77" spans="1:5">
      <c r="A77" s="66" t="s">
        <v>730</v>
      </c>
      <c r="B77" s="66" t="s">
        <v>688</v>
      </c>
      <c r="C77" s="77">
        <f>(16/12)*14</f>
        <v>18.666666666666664</v>
      </c>
      <c r="D77" s="66" t="s">
        <v>586</v>
      </c>
      <c r="E77" s="66" t="s">
        <v>712</v>
      </c>
    </row>
    <row r="78" spans="1:5">
      <c r="A78" s="66" t="s">
        <v>622</v>
      </c>
      <c r="B78" s="66" t="s">
        <v>631</v>
      </c>
      <c r="C78" s="77">
        <f>2.19*2</f>
        <v>4.38</v>
      </c>
      <c r="D78" s="66" t="s">
        <v>586</v>
      </c>
      <c r="E78" s="66" t="s">
        <v>631</v>
      </c>
    </row>
    <row r="79" spans="1:5">
      <c r="A79" s="66" t="s">
        <v>622</v>
      </c>
      <c r="B79" s="66" t="s">
        <v>691</v>
      </c>
      <c r="C79" s="77">
        <f>3.49*2</f>
        <v>6.98</v>
      </c>
      <c r="D79" s="66" t="s">
        <v>586</v>
      </c>
      <c r="E79" s="66" t="s">
        <v>631</v>
      </c>
    </row>
    <row r="80" spans="1:5">
      <c r="A80" s="66" t="s">
        <v>731</v>
      </c>
      <c r="B80" s="66" t="s">
        <v>693</v>
      </c>
      <c r="C80" s="77">
        <f>3.99*2</f>
        <v>7.98</v>
      </c>
      <c r="D80" s="66" t="s">
        <v>586</v>
      </c>
      <c r="E80" s="66" t="s">
        <v>631</v>
      </c>
    </row>
    <row r="81" spans="1:8">
      <c r="A81" s="66" t="s">
        <v>732</v>
      </c>
      <c r="B81" s="66" t="s">
        <v>693</v>
      </c>
      <c r="C81" s="77">
        <f>(16/7)*4.29</f>
        <v>9.805714285714286</v>
      </c>
      <c r="D81" s="66" t="s">
        <v>586</v>
      </c>
      <c r="E81" s="66" t="s">
        <v>631</v>
      </c>
    </row>
    <row r="82" spans="1:8">
      <c r="A82" s="66" t="s">
        <v>733</v>
      </c>
      <c r="B82" s="66"/>
      <c r="C82" s="77">
        <v>18.989999999999998</v>
      </c>
      <c r="D82" s="66" t="s">
        <v>581</v>
      </c>
      <c r="E82" s="66" t="s">
        <v>631</v>
      </c>
    </row>
    <row r="83" spans="1:8">
      <c r="A83" s="66" t="s">
        <v>734</v>
      </c>
      <c r="B83" s="66" t="s">
        <v>630</v>
      </c>
      <c r="C83" s="77">
        <v>19.989999999999998</v>
      </c>
      <c r="D83" s="66" t="s">
        <v>581</v>
      </c>
      <c r="E83" s="66" t="s">
        <v>631</v>
      </c>
    </row>
    <row r="84" spans="1:8">
      <c r="A84" s="66" t="s">
        <v>735</v>
      </c>
      <c r="B84" s="66" t="s">
        <v>695</v>
      </c>
      <c r="C84" s="77">
        <v>17.989999999999998</v>
      </c>
      <c r="D84" s="66" t="s">
        <v>581</v>
      </c>
      <c r="E84" s="66" t="s">
        <v>631</v>
      </c>
    </row>
    <row r="85" spans="1:8">
      <c r="A85" s="66" t="s">
        <v>736</v>
      </c>
      <c r="B85" s="66" t="s">
        <v>695</v>
      </c>
      <c r="C85" s="77">
        <v>17.989999999999998</v>
      </c>
      <c r="D85" s="66" t="s">
        <v>581</v>
      </c>
      <c r="E85" s="66" t="s">
        <v>631</v>
      </c>
    </row>
    <row r="86" spans="1:8">
      <c r="A86" s="66" t="s">
        <v>737</v>
      </c>
      <c r="B86" s="66" t="s">
        <v>695</v>
      </c>
      <c r="C86" s="77">
        <v>17.989999999999998</v>
      </c>
      <c r="D86" s="66" t="s">
        <v>581</v>
      </c>
      <c r="E86" s="66" t="s">
        <v>631</v>
      </c>
    </row>
    <row r="87" spans="1:8">
      <c r="A87" s="66" t="s">
        <v>738</v>
      </c>
      <c r="B87" s="66" t="s">
        <v>695</v>
      </c>
      <c r="C87" s="77">
        <v>17.989999999999998</v>
      </c>
      <c r="D87" s="66" t="s">
        <v>581</v>
      </c>
      <c r="E87" s="66" t="s">
        <v>631</v>
      </c>
    </row>
    <row r="88" spans="1:8">
      <c r="A88" s="66" t="s">
        <v>739</v>
      </c>
      <c r="B88" s="66" t="s">
        <v>695</v>
      </c>
      <c r="C88" s="77">
        <v>17.989999999999998</v>
      </c>
      <c r="D88" s="66" t="s">
        <v>581</v>
      </c>
      <c r="E88" s="66" t="s">
        <v>631</v>
      </c>
      <c r="H88" s="27"/>
    </row>
    <row r="89" spans="1:8">
      <c r="C89" s="27"/>
    </row>
    <row r="90" spans="1:8">
      <c r="C90" s="27"/>
    </row>
    <row r="91" spans="1:8">
      <c r="C91" s="27"/>
    </row>
    <row r="92" spans="1:8">
      <c r="C92" s="27"/>
    </row>
    <row r="93" spans="1:8">
      <c r="C93" s="27"/>
    </row>
    <row r="94" spans="1:8">
      <c r="C94" s="27"/>
    </row>
    <row r="95" spans="1:8">
      <c r="A95" t="s">
        <v>740</v>
      </c>
      <c r="B95" t="s">
        <v>630</v>
      </c>
      <c r="C95" s="27">
        <v>18.989999999999998</v>
      </c>
      <c r="E95" t="s">
        <v>631</v>
      </c>
    </row>
    <row r="96" spans="1:8">
      <c r="A96" t="s">
        <v>741</v>
      </c>
      <c r="B96" t="s">
        <v>630</v>
      </c>
      <c r="C96" s="27">
        <v>18.989999999999998</v>
      </c>
      <c r="D96" t="s">
        <v>580</v>
      </c>
      <c r="E96" t="s">
        <v>631</v>
      </c>
      <c r="F96" t="s">
        <v>742</v>
      </c>
      <c r="H96" t="s">
        <v>743</v>
      </c>
    </row>
    <row r="97" spans="1:10">
      <c r="A97" t="s">
        <v>744</v>
      </c>
      <c r="B97" t="s">
        <v>745</v>
      </c>
      <c r="C97" s="27">
        <v>28.99</v>
      </c>
      <c r="E97" t="s">
        <v>631</v>
      </c>
      <c r="F97" t="s">
        <v>746</v>
      </c>
      <c r="J97" t="s">
        <v>747</v>
      </c>
    </row>
    <row r="98" spans="1:10">
      <c r="A98" t="s">
        <v>748</v>
      </c>
      <c r="B98" t="s">
        <v>749</v>
      </c>
      <c r="C98" s="27">
        <v>20.99</v>
      </c>
      <c r="E98" t="s">
        <v>631</v>
      </c>
      <c r="F98" t="s">
        <v>750</v>
      </c>
    </row>
    <row r="99" spans="1:10">
      <c r="A99" t="s">
        <v>751</v>
      </c>
      <c r="B99" t="s">
        <v>752</v>
      </c>
      <c r="C99" s="27">
        <f>(16/4)*6</f>
        <v>24</v>
      </c>
      <c r="D99" t="s">
        <v>586</v>
      </c>
      <c r="E99" t="s">
        <v>712</v>
      </c>
      <c r="F99" t="s">
        <v>753</v>
      </c>
    </row>
    <row r="100" spans="1:10">
      <c r="A100" t="s">
        <v>754</v>
      </c>
      <c r="C100" s="27">
        <v>18</v>
      </c>
      <c r="D100" t="s">
        <v>586</v>
      </c>
      <c r="E100" t="s">
        <v>712</v>
      </c>
    </row>
    <row r="101" spans="1:10">
      <c r="A101" t="s">
        <v>755</v>
      </c>
      <c r="B101" t="s">
        <v>756</v>
      </c>
      <c r="C101" s="27">
        <v>30</v>
      </c>
      <c r="D101" t="s">
        <v>586</v>
      </c>
      <c r="E101" t="s">
        <v>712</v>
      </c>
    </row>
    <row r="102" spans="1:10">
      <c r="A102" t="s">
        <v>757</v>
      </c>
      <c r="C102" s="27">
        <f>12*2</f>
        <v>24</v>
      </c>
      <c r="D102" t="s">
        <v>586</v>
      </c>
      <c r="E102" t="s">
        <v>712</v>
      </c>
    </row>
    <row r="103" spans="1:10">
      <c r="A103" t="s">
        <v>758</v>
      </c>
      <c r="B103" t="s">
        <v>630</v>
      </c>
      <c r="C103" s="27">
        <f>13*2</f>
        <v>26</v>
      </c>
      <c r="D103" t="s">
        <v>709</v>
      </c>
      <c r="E103" t="s">
        <v>712</v>
      </c>
    </row>
    <row r="104" spans="1:10">
      <c r="A104" t="s">
        <v>759</v>
      </c>
      <c r="B104" t="s">
        <v>686</v>
      </c>
      <c r="C104" s="27">
        <v>21</v>
      </c>
      <c r="D104" t="s">
        <v>586</v>
      </c>
      <c r="E104" t="s">
        <v>712</v>
      </c>
    </row>
    <row r="105" spans="1:10">
      <c r="C105" s="27"/>
    </row>
    <row r="106" spans="1:10">
      <c r="C106" s="27"/>
    </row>
    <row r="107" spans="1:10">
      <c r="C107" s="27"/>
    </row>
    <row r="108" spans="1:10">
      <c r="C108" s="27"/>
    </row>
    <row r="109" spans="1:10">
      <c r="C109" s="27"/>
    </row>
    <row r="110" spans="1:10">
      <c r="C110" s="27"/>
    </row>
    <row r="111" spans="1:10">
      <c r="C111" s="27"/>
    </row>
    <row r="112" spans="1:10">
      <c r="C112" s="27"/>
    </row>
    <row r="119" spans="3:3">
      <c r="C119" s="27"/>
    </row>
    <row r="120" spans="3:3">
      <c r="C120" s="27"/>
    </row>
    <row r="121" spans="3:3">
      <c r="C121" s="27"/>
    </row>
    <row r="122" spans="3:3">
      <c r="C122" s="27"/>
    </row>
    <row r="123" spans="3:3">
      <c r="C123" s="27"/>
    </row>
  </sheetData>
  <mergeCells count="1">
    <mergeCell ref="A10:R1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22E7582356CCB4A9B73451EAE589AE7" ma:contentTypeVersion="18" ma:contentTypeDescription="Create a new document." ma:contentTypeScope="" ma:versionID="fe5171263af38991ef9034fe69fea062">
  <xsd:schema xmlns:xsd="http://www.w3.org/2001/XMLSchema" xmlns:xs="http://www.w3.org/2001/XMLSchema" xmlns:p="http://schemas.microsoft.com/office/2006/metadata/properties" xmlns:ns3="6a47a225-887e-4161-997d-63c2a5fdea74" xmlns:ns4="4872adf8-98e0-440d-8d6d-56548acc6377" targetNamespace="http://schemas.microsoft.com/office/2006/metadata/properties" ma:root="true" ma:fieldsID="23593af5a6029b3f335147ce8b2d2da8" ns3:_="" ns4:_="">
    <xsd:import namespace="6a47a225-887e-4161-997d-63c2a5fdea74"/>
    <xsd:import namespace="4872adf8-98e0-440d-8d6d-56548acc637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4:SharedWithUsers" minOccurs="0"/>
                <xsd:element ref="ns4:SharedWithDetails" minOccurs="0"/>
                <xsd:element ref="ns4:SharingHintHash" minOccurs="0"/>
                <xsd:element ref="ns3:MediaServiceEventHashCode" minOccurs="0"/>
                <xsd:element ref="ns3:MediaServiceGenerationTime" minOccurs="0"/>
                <xsd:element ref="ns3:MediaServiceAutoKeyPoints" minOccurs="0"/>
                <xsd:element ref="ns3:MediaServiceKeyPoints" minOccurs="0"/>
                <xsd:element ref="ns3:MediaLengthInSecond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47a225-887e-4161-997d-63c2a5fdea7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872adf8-98e0-440d-8d6d-56548acc6377"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6a47a225-887e-4161-997d-63c2a5fdea74" xsi:nil="true"/>
  </documentManagement>
</p:properties>
</file>

<file path=customXml/itemProps1.xml><?xml version="1.0" encoding="utf-8"?>
<ds:datastoreItem xmlns:ds="http://schemas.openxmlformats.org/officeDocument/2006/customXml" ds:itemID="{1A793FC2-B453-42CB-AD84-C5918AC53A7E}"/>
</file>

<file path=customXml/itemProps2.xml><?xml version="1.0" encoding="utf-8"?>
<ds:datastoreItem xmlns:ds="http://schemas.openxmlformats.org/officeDocument/2006/customXml" ds:itemID="{DB0304E6-3F8A-45B0-ADC4-1866F2326715}"/>
</file>

<file path=customXml/itemProps3.xml><?xml version="1.0" encoding="utf-8"?>
<ds:datastoreItem xmlns:ds="http://schemas.openxmlformats.org/officeDocument/2006/customXml" ds:itemID="{89EB1ACB-73D2-4AD1-9D34-DDD1383EDBB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Eckelkamp, Liz</dc:creator>
  <cp:keywords/>
  <dc:description/>
  <cp:lastModifiedBy/>
  <cp:revision/>
  <dcterms:created xsi:type="dcterms:W3CDTF">2021-05-28T14:37:00Z</dcterms:created>
  <dcterms:modified xsi:type="dcterms:W3CDTF">2026-07-01T13:54:45Z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0x010100022E7582356CCB4A9B73451EAE589AE7</vt:lpwstr>
  </property>
</Properties>
</file>